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wakami\Desktop\hasegawa paper\# eLife R1\"/>
    </mc:Choice>
  </mc:AlternateContent>
  <bookViews>
    <workbookView xWindow="0" yWindow="0" windowWidth="20970" windowHeight="9345" activeTab="1"/>
  </bookViews>
  <sheets>
    <sheet name="Upregulated genes" sheetId="3" r:id="rId1"/>
    <sheet name="Downregulated genes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1" i="4" l="1"/>
  <c r="J101" i="4"/>
  <c r="I101" i="4"/>
  <c r="H101" i="4"/>
  <c r="K100" i="4"/>
  <c r="J100" i="4"/>
  <c r="I100" i="4"/>
  <c r="H100" i="4"/>
  <c r="K99" i="4"/>
  <c r="J99" i="4"/>
  <c r="I99" i="4"/>
  <c r="H99" i="4"/>
  <c r="I98" i="4"/>
  <c r="H98" i="4"/>
  <c r="K97" i="4"/>
  <c r="J97" i="4"/>
  <c r="I97" i="4"/>
  <c r="H97" i="4"/>
  <c r="K96" i="4"/>
  <c r="J96" i="4"/>
  <c r="I96" i="4"/>
  <c r="H96" i="4"/>
  <c r="K95" i="4"/>
  <c r="J95" i="4"/>
  <c r="I95" i="4"/>
  <c r="H95" i="4"/>
  <c r="K94" i="4"/>
  <c r="J94" i="4"/>
  <c r="I94" i="4"/>
  <c r="H94" i="4"/>
  <c r="K93" i="4"/>
  <c r="J93" i="4"/>
  <c r="I93" i="4"/>
  <c r="H93" i="4"/>
  <c r="K92" i="4"/>
  <c r="J92" i="4"/>
  <c r="I92" i="4"/>
  <c r="H92" i="4"/>
  <c r="K91" i="4"/>
  <c r="J91" i="4"/>
  <c r="I91" i="4"/>
  <c r="H91" i="4"/>
  <c r="K90" i="4"/>
  <c r="J90" i="4"/>
  <c r="I90" i="4"/>
  <c r="H90" i="4"/>
  <c r="K89" i="4"/>
  <c r="J89" i="4"/>
  <c r="I89" i="4"/>
  <c r="H89" i="4"/>
  <c r="K88" i="4"/>
  <c r="J88" i="4"/>
  <c r="I88" i="4"/>
  <c r="H88" i="4"/>
  <c r="K87" i="4"/>
  <c r="J87" i="4"/>
  <c r="I87" i="4"/>
  <c r="H87" i="4"/>
  <c r="K86" i="4"/>
  <c r="J86" i="4"/>
  <c r="I86" i="4"/>
  <c r="H86" i="4"/>
  <c r="K85" i="4"/>
  <c r="J85" i="4"/>
  <c r="I85" i="4"/>
  <c r="H85" i="4"/>
  <c r="K84" i="4"/>
  <c r="J84" i="4"/>
  <c r="I84" i="4"/>
  <c r="H84" i="4"/>
  <c r="K83" i="4"/>
  <c r="J83" i="4"/>
  <c r="I83" i="4"/>
  <c r="H83" i="4"/>
  <c r="K82" i="4"/>
  <c r="J82" i="4"/>
  <c r="I82" i="4"/>
  <c r="H82" i="4"/>
  <c r="K81" i="4"/>
  <c r="J81" i="4"/>
  <c r="I81" i="4"/>
  <c r="H81" i="4"/>
  <c r="K80" i="4"/>
  <c r="J80" i="4"/>
  <c r="I80" i="4"/>
  <c r="H80" i="4"/>
  <c r="K79" i="4"/>
  <c r="J79" i="4"/>
  <c r="I79" i="4"/>
  <c r="H79" i="4"/>
  <c r="K78" i="4"/>
  <c r="J78" i="4"/>
  <c r="I78" i="4"/>
  <c r="H78" i="4"/>
  <c r="K77" i="4"/>
  <c r="J77" i="4"/>
  <c r="I77" i="4"/>
  <c r="H77" i="4"/>
  <c r="K76" i="4"/>
  <c r="J76" i="4"/>
  <c r="I76" i="4"/>
  <c r="H76" i="4"/>
  <c r="K75" i="4"/>
  <c r="J75" i="4"/>
  <c r="I75" i="4"/>
  <c r="H75" i="4"/>
  <c r="K74" i="4"/>
  <c r="J74" i="4"/>
  <c r="I74" i="4"/>
  <c r="H74" i="4"/>
  <c r="K73" i="4"/>
  <c r="J73" i="4"/>
  <c r="I73" i="4"/>
  <c r="H73" i="4"/>
  <c r="K72" i="4"/>
  <c r="J72" i="4"/>
  <c r="I72" i="4"/>
  <c r="H72" i="4"/>
  <c r="K71" i="4"/>
  <c r="J71" i="4"/>
  <c r="I71" i="4"/>
  <c r="H71" i="4"/>
  <c r="K70" i="4"/>
  <c r="J70" i="4"/>
  <c r="I70" i="4"/>
  <c r="H70" i="4"/>
  <c r="K69" i="4"/>
  <c r="J69" i="4"/>
  <c r="I69" i="4"/>
  <c r="H69" i="4"/>
  <c r="K68" i="4"/>
  <c r="J68" i="4"/>
  <c r="I68" i="4"/>
  <c r="H68" i="4"/>
  <c r="K67" i="4"/>
  <c r="J67" i="4"/>
  <c r="I67" i="4"/>
  <c r="H67" i="4"/>
  <c r="I66" i="4"/>
  <c r="H66" i="4"/>
  <c r="K65" i="4"/>
  <c r="J65" i="4"/>
  <c r="I65" i="4"/>
  <c r="H65" i="4"/>
  <c r="K64" i="4"/>
  <c r="J64" i="4"/>
  <c r="I64" i="4"/>
  <c r="H64" i="4"/>
  <c r="K63" i="4"/>
  <c r="J63" i="4"/>
  <c r="I63" i="4"/>
  <c r="H63" i="4"/>
  <c r="K62" i="4"/>
  <c r="J62" i="4"/>
  <c r="I62" i="4"/>
  <c r="H62" i="4"/>
  <c r="K61" i="4"/>
  <c r="J61" i="4"/>
  <c r="I61" i="4"/>
  <c r="H61" i="4"/>
  <c r="K60" i="4"/>
  <c r="J60" i="4"/>
  <c r="I60" i="4"/>
  <c r="H60" i="4"/>
  <c r="K59" i="4"/>
  <c r="J59" i="4"/>
  <c r="I59" i="4"/>
  <c r="H59" i="4"/>
  <c r="K58" i="4"/>
  <c r="J58" i="4"/>
  <c r="I58" i="4"/>
  <c r="H58" i="4"/>
  <c r="K57" i="4"/>
  <c r="J57" i="4"/>
  <c r="I57" i="4"/>
  <c r="H57" i="4"/>
  <c r="K56" i="4"/>
  <c r="J56" i="4"/>
  <c r="I56" i="4"/>
  <c r="H56" i="4"/>
  <c r="K55" i="4"/>
  <c r="J55" i="4"/>
  <c r="I55" i="4"/>
  <c r="H55" i="4"/>
  <c r="K54" i="4"/>
  <c r="J54" i="4"/>
  <c r="I54" i="4"/>
  <c r="H54" i="4"/>
  <c r="K53" i="4"/>
  <c r="J53" i="4"/>
  <c r="I53" i="4"/>
  <c r="H53" i="4"/>
  <c r="K52" i="4"/>
  <c r="J52" i="4"/>
  <c r="I52" i="4"/>
  <c r="H52" i="4"/>
  <c r="K51" i="4"/>
  <c r="J51" i="4"/>
  <c r="I51" i="4"/>
  <c r="H51" i="4"/>
  <c r="K50" i="4"/>
  <c r="J50" i="4"/>
  <c r="I50" i="4"/>
  <c r="H50" i="4"/>
  <c r="K49" i="4"/>
  <c r="J49" i="4"/>
  <c r="I49" i="4"/>
  <c r="H49" i="4"/>
  <c r="K48" i="4"/>
  <c r="J48" i="4"/>
  <c r="I48" i="4"/>
  <c r="H48" i="4"/>
  <c r="K47" i="4"/>
  <c r="J47" i="4"/>
  <c r="I47" i="4"/>
  <c r="H47" i="4"/>
  <c r="K46" i="4"/>
  <c r="J46" i="4"/>
  <c r="I46" i="4"/>
  <c r="H46" i="4"/>
  <c r="K45" i="4"/>
  <c r="J45" i="4"/>
  <c r="I45" i="4"/>
  <c r="H45" i="4"/>
  <c r="K44" i="4"/>
  <c r="J44" i="4"/>
  <c r="I44" i="4"/>
  <c r="H44" i="4"/>
  <c r="I43" i="4"/>
  <c r="H43" i="4"/>
  <c r="K42" i="4"/>
  <c r="J42" i="4"/>
  <c r="I42" i="4"/>
  <c r="H42" i="4"/>
  <c r="K41" i="4"/>
  <c r="J41" i="4"/>
  <c r="I41" i="4"/>
  <c r="H41" i="4"/>
  <c r="K40" i="4"/>
  <c r="J40" i="4"/>
  <c r="I40" i="4"/>
  <c r="H40" i="4"/>
  <c r="K39" i="4"/>
  <c r="J39" i="4"/>
  <c r="I39" i="4"/>
  <c r="H39" i="4"/>
  <c r="K38" i="4"/>
  <c r="J38" i="4"/>
  <c r="I38" i="4"/>
  <c r="H38" i="4"/>
  <c r="K37" i="4"/>
  <c r="J37" i="4"/>
  <c r="I37" i="4"/>
  <c r="H37" i="4"/>
  <c r="K36" i="4"/>
  <c r="J36" i="4"/>
  <c r="I36" i="4"/>
  <c r="H36" i="4"/>
  <c r="K35" i="4"/>
  <c r="J35" i="4"/>
  <c r="I35" i="4"/>
  <c r="H35" i="4"/>
  <c r="K34" i="4"/>
  <c r="J34" i="4"/>
  <c r="I34" i="4"/>
  <c r="H34" i="4"/>
  <c r="K33" i="4"/>
  <c r="J33" i="4"/>
  <c r="I33" i="4"/>
  <c r="H33" i="4"/>
  <c r="K32" i="4"/>
  <c r="J32" i="4"/>
  <c r="I32" i="4"/>
  <c r="H32" i="4"/>
  <c r="K31" i="4"/>
  <c r="J31" i="4"/>
  <c r="I31" i="4"/>
  <c r="H31" i="4"/>
  <c r="K30" i="4"/>
  <c r="J30" i="4"/>
  <c r="I30" i="4"/>
  <c r="H30" i="4"/>
  <c r="K29" i="4"/>
  <c r="J29" i="4"/>
  <c r="I29" i="4"/>
  <c r="H29" i="4"/>
  <c r="K28" i="4"/>
  <c r="J28" i="4"/>
  <c r="I28" i="4"/>
  <c r="H28" i="4"/>
  <c r="K27" i="4"/>
  <c r="J27" i="4"/>
  <c r="I27" i="4"/>
  <c r="H27" i="4"/>
  <c r="K26" i="4"/>
  <c r="J26" i="4"/>
  <c r="I26" i="4"/>
  <c r="H26" i="4"/>
  <c r="K25" i="4"/>
  <c r="J25" i="4"/>
  <c r="I25" i="4"/>
  <c r="H25" i="4"/>
  <c r="K24" i="4"/>
  <c r="J24" i="4"/>
  <c r="I24" i="4"/>
  <c r="H24" i="4"/>
  <c r="K23" i="4"/>
  <c r="J23" i="4"/>
  <c r="I23" i="4"/>
  <c r="H23" i="4"/>
  <c r="K22" i="4"/>
  <c r="J22" i="4"/>
  <c r="I22" i="4"/>
  <c r="H22" i="4"/>
  <c r="K21" i="4"/>
  <c r="J21" i="4"/>
  <c r="I21" i="4"/>
  <c r="H21" i="4"/>
  <c r="K20" i="4"/>
  <c r="J20" i="4"/>
  <c r="I20" i="4"/>
  <c r="H20" i="4"/>
  <c r="K19" i="4"/>
  <c r="J19" i="4"/>
  <c r="I19" i="4"/>
  <c r="H19" i="4"/>
  <c r="K18" i="4"/>
  <c r="J18" i="4"/>
  <c r="I18" i="4"/>
  <c r="H18" i="4"/>
  <c r="K17" i="4"/>
  <c r="J17" i="4"/>
  <c r="I17" i="4"/>
  <c r="H17" i="4"/>
  <c r="K16" i="4"/>
  <c r="J16" i="4"/>
  <c r="I16" i="4"/>
  <c r="H16" i="4"/>
  <c r="K15" i="4"/>
  <c r="J15" i="4"/>
  <c r="I15" i="4"/>
  <c r="H15" i="4"/>
  <c r="I14" i="4"/>
  <c r="H14" i="4"/>
  <c r="K13" i="4"/>
  <c r="J13" i="4"/>
  <c r="I13" i="4"/>
  <c r="H13" i="4"/>
  <c r="K12" i="4"/>
  <c r="J12" i="4"/>
  <c r="I12" i="4"/>
  <c r="H12" i="4"/>
  <c r="K11" i="4"/>
  <c r="J11" i="4"/>
  <c r="I11" i="4"/>
  <c r="H11" i="4"/>
  <c r="K10" i="4"/>
  <c r="J10" i="4"/>
  <c r="I10" i="4"/>
  <c r="H10" i="4"/>
  <c r="I9" i="4"/>
  <c r="H9" i="4"/>
  <c r="K8" i="4"/>
  <c r="J8" i="4"/>
  <c r="I8" i="4"/>
  <c r="H8" i="4"/>
  <c r="K7" i="4"/>
  <c r="J7" i="4"/>
  <c r="I7" i="4"/>
  <c r="H7" i="4"/>
  <c r="K6" i="4"/>
  <c r="J6" i="4"/>
  <c r="I6" i="4"/>
  <c r="H6" i="4"/>
  <c r="K5" i="4"/>
  <c r="J5" i="4"/>
  <c r="I5" i="4"/>
  <c r="H5" i="4"/>
  <c r="K4" i="4"/>
  <c r="J4" i="4"/>
  <c r="I4" i="4"/>
  <c r="H4" i="4"/>
  <c r="K3" i="4"/>
  <c r="J3" i="4"/>
  <c r="I3" i="4"/>
  <c r="H3" i="4"/>
  <c r="H5" i="3" l="1"/>
  <c r="I5" i="3"/>
  <c r="J5" i="3"/>
  <c r="K5" i="3"/>
  <c r="H31" i="3"/>
  <c r="I31" i="3"/>
  <c r="J31" i="3"/>
  <c r="K31" i="3"/>
  <c r="K312" i="3"/>
  <c r="J312" i="3"/>
  <c r="I312" i="3"/>
  <c r="H312" i="3"/>
  <c r="K311" i="3"/>
  <c r="J311" i="3"/>
  <c r="I311" i="3"/>
  <c r="H311" i="3"/>
  <c r="K310" i="3"/>
  <c r="J310" i="3"/>
  <c r="I310" i="3"/>
  <c r="H310" i="3"/>
  <c r="K309" i="3"/>
  <c r="J309" i="3"/>
  <c r="I309" i="3"/>
  <c r="H309" i="3"/>
  <c r="K308" i="3"/>
  <c r="J308" i="3"/>
  <c r="I308" i="3"/>
  <c r="H308" i="3"/>
  <c r="K307" i="3"/>
  <c r="J307" i="3"/>
  <c r="I307" i="3"/>
  <c r="H307" i="3"/>
  <c r="K306" i="3"/>
  <c r="J306" i="3"/>
  <c r="I306" i="3"/>
  <c r="H306" i="3"/>
  <c r="K305" i="3"/>
  <c r="J305" i="3"/>
  <c r="I305" i="3"/>
  <c r="H305" i="3"/>
  <c r="K304" i="3"/>
  <c r="J304" i="3"/>
  <c r="I304" i="3"/>
  <c r="H304" i="3"/>
  <c r="K303" i="3"/>
  <c r="J303" i="3"/>
  <c r="I303" i="3"/>
  <c r="H303" i="3"/>
  <c r="K302" i="3"/>
  <c r="J302" i="3"/>
  <c r="I302" i="3"/>
  <c r="H302" i="3"/>
  <c r="K301" i="3"/>
  <c r="J301" i="3"/>
  <c r="I301" i="3"/>
  <c r="H301" i="3"/>
  <c r="K300" i="3"/>
  <c r="J300" i="3"/>
  <c r="I300" i="3"/>
  <c r="H300" i="3"/>
  <c r="K299" i="3"/>
  <c r="J299" i="3"/>
  <c r="I299" i="3"/>
  <c r="H299" i="3"/>
  <c r="K298" i="3"/>
  <c r="J298" i="3"/>
  <c r="I298" i="3"/>
  <c r="H298" i="3"/>
  <c r="K297" i="3"/>
  <c r="J297" i="3"/>
  <c r="I297" i="3"/>
  <c r="H297" i="3"/>
  <c r="K296" i="3"/>
  <c r="J296" i="3"/>
  <c r="I296" i="3"/>
  <c r="H296" i="3"/>
  <c r="K295" i="3"/>
  <c r="J295" i="3"/>
  <c r="I295" i="3"/>
  <c r="H295" i="3"/>
  <c r="K294" i="3"/>
  <c r="J294" i="3"/>
  <c r="I294" i="3"/>
  <c r="H294" i="3"/>
  <c r="K293" i="3"/>
  <c r="J293" i="3"/>
  <c r="I293" i="3"/>
  <c r="H293" i="3"/>
  <c r="K292" i="3"/>
  <c r="J292" i="3"/>
  <c r="I292" i="3"/>
  <c r="H292" i="3"/>
  <c r="K291" i="3"/>
  <c r="J291" i="3"/>
  <c r="I291" i="3"/>
  <c r="H291" i="3"/>
  <c r="K290" i="3"/>
  <c r="J290" i="3"/>
  <c r="I290" i="3"/>
  <c r="H290" i="3"/>
  <c r="K289" i="3"/>
  <c r="J289" i="3"/>
  <c r="I289" i="3"/>
  <c r="H289" i="3"/>
  <c r="K288" i="3"/>
  <c r="J288" i="3"/>
  <c r="I288" i="3"/>
  <c r="H288" i="3"/>
  <c r="K287" i="3"/>
  <c r="J287" i="3"/>
  <c r="I287" i="3"/>
  <c r="H287" i="3"/>
  <c r="K286" i="3"/>
  <c r="J286" i="3"/>
  <c r="I286" i="3"/>
  <c r="H286" i="3"/>
  <c r="K285" i="3"/>
  <c r="J285" i="3"/>
  <c r="I285" i="3"/>
  <c r="H285" i="3"/>
  <c r="K284" i="3"/>
  <c r="J284" i="3"/>
  <c r="I284" i="3"/>
  <c r="H284" i="3"/>
  <c r="K283" i="3"/>
  <c r="J283" i="3"/>
  <c r="I283" i="3"/>
  <c r="H283" i="3"/>
  <c r="K282" i="3"/>
  <c r="J282" i="3"/>
  <c r="I282" i="3"/>
  <c r="H282" i="3"/>
  <c r="K281" i="3"/>
  <c r="J281" i="3"/>
  <c r="I281" i="3"/>
  <c r="H281" i="3"/>
  <c r="K280" i="3"/>
  <c r="J280" i="3"/>
  <c r="I280" i="3"/>
  <c r="H280" i="3"/>
  <c r="K279" i="3"/>
  <c r="J279" i="3"/>
  <c r="I279" i="3"/>
  <c r="H279" i="3"/>
  <c r="K278" i="3"/>
  <c r="J278" i="3"/>
  <c r="I278" i="3"/>
  <c r="H278" i="3"/>
  <c r="K277" i="3"/>
  <c r="J277" i="3"/>
  <c r="I277" i="3"/>
  <c r="H277" i="3"/>
  <c r="K276" i="3"/>
  <c r="J276" i="3"/>
  <c r="I276" i="3"/>
  <c r="H276" i="3"/>
  <c r="K275" i="3"/>
  <c r="J275" i="3"/>
  <c r="I275" i="3"/>
  <c r="H275" i="3"/>
  <c r="K274" i="3"/>
  <c r="J274" i="3"/>
  <c r="I274" i="3"/>
  <c r="H274" i="3"/>
  <c r="K273" i="3"/>
  <c r="J273" i="3"/>
  <c r="I273" i="3"/>
  <c r="H273" i="3"/>
  <c r="K272" i="3"/>
  <c r="J272" i="3"/>
  <c r="I272" i="3"/>
  <c r="H272" i="3"/>
  <c r="K271" i="3"/>
  <c r="J271" i="3"/>
  <c r="I271" i="3"/>
  <c r="H271" i="3"/>
  <c r="K270" i="3"/>
  <c r="J270" i="3"/>
  <c r="I270" i="3"/>
  <c r="H270" i="3"/>
  <c r="K269" i="3"/>
  <c r="J269" i="3"/>
  <c r="I269" i="3"/>
  <c r="H269" i="3"/>
  <c r="K268" i="3"/>
  <c r="J268" i="3"/>
  <c r="I268" i="3"/>
  <c r="H268" i="3"/>
  <c r="K267" i="3"/>
  <c r="J267" i="3"/>
  <c r="I267" i="3"/>
  <c r="H267" i="3"/>
  <c r="K266" i="3"/>
  <c r="J266" i="3"/>
  <c r="I266" i="3"/>
  <c r="H266" i="3"/>
  <c r="K265" i="3"/>
  <c r="J265" i="3"/>
  <c r="I265" i="3"/>
  <c r="H265" i="3"/>
  <c r="K264" i="3"/>
  <c r="J264" i="3"/>
  <c r="I264" i="3"/>
  <c r="H264" i="3"/>
  <c r="K263" i="3"/>
  <c r="J263" i="3"/>
  <c r="I263" i="3"/>
  <c r="H263" i="3"/>
  <c r="K262" i="3"/>
  <c r="J262" i="3"/>
  <c r="I262" i="3"/>
  <c r="H262" i="3"/>
  <c r="K261" i="3"/>
  <c r="J261" i="3"/>
  <c r="I261" i="3"/>
  <c r="H261" i="3"/>
  <c r="K260" i="3"/>
  <c r="J260" i="3"/>
  <c r="I260" i="3"/>
  <c r="H260" i="3"/>
  <c r="K259" i="3"/>
  <c r="J259" i="3"/>
  <c r="I259" i="3"/>
  <c r="H259" i="3"/>
  <c r="K258" i="3"/>
  <c r="J258" i="3"/>
  <c r="I258" i="3"/>
  <c r="H258" i="3"/>
  <c r="K257" i="3"/>
  <c r="J257" i="3"/>
  <c r="I257" i="3"/>
  <c r="H257" i="3"/>
  <c r="K256" i="3"/>
  <c r="J256" i="3"/>
  <c r="I256" i="3"/>
  <c r="H256" i="3"/>
  <c r="K255" i="3"/>
  <c r="J255" i="3"/>
  <c r="I255" i="3"/>
  <c r="H255" i="3"/>
  <c r="K254" i="3"/>
  <c r="J254" i="3"/>
  <c r="I254" i="3"/>
  <c r="H254" i="3"/>
  <c r="K253" i="3"/>
  <c r="J253" i="3"/>
  <c r="I253" i="3"/>
  <c r="H253" i="3"/>
  <c r="K252" i="3"/>
  <c r="J252" i="3"/>
  <c r="I252" i="3"/>
  <c r="H252" i="3"/>
  <c r="K251" i="3"/>
  <c r="J251" i="3"/>
  <c r="I251" i="3"/>
  <c r="H251" i="3"/>
  <c r="K250" i="3"/>
  <c r="J250" i="3"/>
  <c r="I250" i="3"/>
  <c r="H250" i="3"/>
  <c r="K249" i="3"/>
  <c r="J249" i="3"/>
  <c r="I249" i="3"/>
  <c r="H249" i="3"/>
  <c r="K248" i="3"/>
  <c r="J248" i="3"/>
  <c r="I248" i="3"/>
  <c r="H248" i="3"/>
  <c r="K247" i="3"/>
  <c r="J247" i="3"/>
  <c r="I247" i="3"/>
  <c r="H247" i="3"/>
  <c r="K246" i="3"/>
  <c r="J246" i="3"/>
  <c r="I246" i="3"/>
  <c r="H246" i="3"/>
  <c r="K245" i="3"/>
  <c r="J245" i="3"/>
  <c r="I245" i="3"/>
  <c r="H245" i="3"/>
  <c r="K244" i="3"/>
  <c r="J244" i="3"/>
  <c r="I244" i="3"/>
  <c r="H244" i="3"/>
  <c r="K243" i="3"/>
  <c r="J243" i="3"/>
  <c r="I243" i="3"/>
  <c r="H243" i="3"/>
  <c r="K242" i="3"/>
  <c r="J242" i="3"/>
  <c r="I242" i="3"/>
  <c r="H242" i="3"/>
  <c r="K241" i="3"/>
  <c r="J241" i="3"/>
  <c r="I241" i="3"/>
  <c r="H241" i="3"/>
  <c r="K240" i="3"/>
  <c r="J240" i="3"/>
  <c r="I240" i="3"/>
  <c r="H240" i="3"/>
  <c r="K239" i="3"/>
  <c r="J239" i="3"/>
  <c r="I239" i="3"/>
  <c r="H239" i="3"/>
  <c r="K238" i="3"/>
  <c r="J238" i="3"/>
  <c r="I238" i="3"/>
  <c r="H238" i="3"/>
  <c r="K237" i="3"/>
  <c r="J237" i="3"/>
  <c r="I237" i="3"/>
  <c r="H237" i="3"/>
  <c r="K236" i="3"/>
  <c r="J236" i="3"/>
  <c r="I236" i="3"/>
  <c r="H236" i="3"/>
  <c r="K235" i="3"/>
  <c r="J235" i="3"/>
  <c r="I235" i="3"/>
  <c r="H235" i="3"/>
  <c r="K234" i="3"/>
  <c r="J234" i="3"/>
  <c r="I234" i="3"/>
  <c r="H234" i="3"/>
  <c r="K233" i="3"/>
  <c r="J233" i="3"/>
  <c r="I233" i="3"/>
  <c r="H233" i="3"/>
  <c r="K232" i="3"/>
  <c r="J232" i="3"/>
  <c r="I232" i="3"/>
  <c r="H232" i="3"/>
  <c r="K231" i="3"/>
  <c r="J231" i="3"/>
  <c r="I231" i="3"/>
  <c r="H231" i="3"/>
  <c r="K230" i="3"/>
  <c r="J230" i="3"/>
  <c r="I230" i="3"/>
  <c r="H230" i="3"/>
  <c r="K229" i="3"/>
  <c r="J229" i="3"/>
  <c r="I229" i="3"/>
  <c r="H229" i="3"/>
  <c r="K228" i="3"/>
  <c r="J228" i="3"/>
  <c r="I228" i="3"/>
  <c r="H228" i="3"/>
  <c r="K227" i="3"/>
  <c r="J227" i="3"/>
  <c r="I227" i="3"/>
  <c r="H227" i="3"/>
  <c r="K226" i="3"/>
  <c r="J226" i="3"/>
  <c r="I226" i="3"/>
  <c r="H226" i="3"/>
  <c r="K225" i="3"/>
  <c r="J225" i="3"/>
  <c r="I225" i="3"/>
  <c r="H225" i="3"/>
  <c r="K224" i="3"/>
  <c r="J224" i="3"/>
  <c r="I224" i="3"/>
  <c r="H224" i="3"/>
  <c r="K223" i="3"/>
  <c r="J223" i="3"/>
  <c r="I223" i="3"/>
  <c r="H223" i="3"/>
  <c r="K222" i="3"/>
  <c r="J222" i="3"/>
  <c r="I222" i="3"/>
  <c r="H222" i="3"/>
  <c r="K221" i="3"/>
  <c r="J221" i="3"/>
  <c r="I221" i="3"/>
  <c r="H221" i="3"/>
  <c r="K220" i="3"/>
  <c r="J220" i="3"/>
  <c r="I220" i="3"/>
  <c r="H220" i="3"/>
  <c r="K219" i="3"/>
  <c r="J219" i="3"/>
  <c r="I219" i="3"/>
  <c r="H219" i="3"/>
  <c r="K218" i="3"/>
  <c r="J218" i="3"/>
  <c r="I218" i="3"/>
  <c r="H218" i="3"/>
  <c r="K217" i="3"/>
  <c r="J217" i="3"/>
  <c r="I217" i="3"/>
  <c r="H217" i="3"/>
  <c r="K216" i="3"/>
  <c r="J216" i="3"/>
  <c r="I216" i="3"/>
  <c r="H216" i="3"/>
  <c r="K215" i="3"/>
  <c r="J215" i="3"/>
  <c r="I215" i="3"/>
  <c r="H215" i="3"/>
  <c r="K214" i="3"/>
  <c r="J214" i="3"/>
  <c r="I214" i="3"/>
  <c r="H214" i="3"/>
  <c r="K213" i="3"/>
  <c r="J213" i="3"/>
  <c r="I213" i="3"/>
  <c r="H213" i="3"/>
  <c r="K212" i="3"/>
  <c r="J212" i="3"/>
  <c r="I212" i="3"/>
  <c r="H212" i="3"/>
  <c r="K211" i="3"/>
  <c r="J211" i="3"/>
  <c r="I211" i="3"/>
  <c r="H211" i="3"/>
  <c r="K210" i="3"/>
  <c r="J210" i="3"/>
  <c r="I210" i="3"/>
  <c r="H210" i="3"/>
  <c r="K209" i="3"/>
  <c r="J209" i="3"/>
  <c r="I209" i="3"/>
  <c r="H209" i="3"/>
  <c r="K208" i="3"/>
  <c r="J208" i="3"/>
  <c r="I208" i="3"/>
  <c r="H208" i="3"/>
  <c r="K207" i="3"/>
  <c r="J207" i="3"/>
  <c r="I207" i="3"/>
  <c r="H207" i="3"/>
  <c r="K206" i="3"/>
  <c r="J206" i="3"/>
  <c r="I206" i="3"/>
  <c r="H206" i="3"/>
  <c r="K205" i="3"/>
  <c r="J205" i="3"/>
  <c r="I205" i="3"/>
  <c r="H205" i="3"/>
  <c r="K204" i="3"/>
  <c r="J204" i="3"/>
  <c r="I204" i="3"/>
  <c r="H204" i="3"/>
  <c r="K203" i="3"/>
  <c r="J203" i="3"/>
  <c r="I203" i="3"/>
  <c r="H203" i="3"/>
  <c r="K202" i="3"/>
  <c r="J202" i="3"/>
  <c r="I202" i="3"/>
  <c r="H202" i="3"/>
  <c r="K201" i="3"/>
  <c r="J201" i="3"/>
  <c r="I201" i="3"/>
  <c r="H201" i="3"/>
  <c r="K200" i="3"/>
  <c r="J200" i="3"/>
  <c r="I200" i="3"/>
  <c r="H200" i="3"/>
  <c r="K199" i="3"/>
  <c r="J199" i="3"/>
  <c r="I199" i="3"/>
  <c r="H199" i="3"/>
  <c r="K198" i="3"/>
  <c r="J198" i="3"/>
  <c r="I198" i="3"/>
  <c r="H198" i="3"/>
  <c r="K197" i="3"/>
  <c r="J197" i="3"/>
  <c r="I197" i="3"/>
  <c r="H197" i="3"/>
  <c r="K196" i="3"/>
  <c r="J196" i="3"/>
  <c r="I196" i="3"/>
  <c r="H196" i="3"/>
  <c r="K195" i="3"/>
  <c r="J195" i="3"/>
  <c r="I195" i="3"/>
  <c r="H195" i="3"/>
  <c r="K194" i="3"/>
  <c r="J194" i="3"/>
  <c r="I194" i="3"/>
  <c r="H194" i="3"/>
  <c r="K193" i="3"/>
  <c r="J193" i="3"/>
  <c r="I193" i="3"/>
  <c r="H193" i="3"/>
  <c r="K192" i="3"/>
  <c r="J192" i="3"/>
  <c r="I192" i="3"/>
  <c r="H192" i="3"/>
  <c r="K191" i="3"/>
  <c r="J191" i="3"/>
  <c r="I191" i="3"/>
  <c r="H191" i="3"/>
  <c r="K190" i="3"/>
  <c r="J190" i="3"/>
  <c r="I190" i="3"/>
  <c r="H190" i="3"/>
  <c r="K189" i="3"/>
  <c r="J189" i="3"/>
  <c r="I189" i="3"/>
  <c r="H189" i="3"/>
  <c r="K188" i="3"/>
  <c r="J188" i="3"/>
  <c r="I188" i="3"/>
  <c r="H188" i="3"/>
  <c r="K187" i="3"/>
  <c r="J187" i="3"/>
  <c r="I187" i="3"/>
  <c r="H187" i="3"/>
  <c r="K186" i="3"/>
  <c r="J186" i="3"/>
  <c r="I186" i="3"/>
  <c r="H186" i="3"/>
  <c r="K185" i="3"/>
  <c r="J185" i="3"/>
  <c r="I185" i="3"/>
  <c r="H185" i="3"/>
  <c r="K184" i="3"/>
  <c r="J184" i="3"/>
  <c r="I184" i="3"/>
  <c r="H184" i="3"/>
  <c r="K183" i="3"/>
  <c r="J183" i="3"/>
  <c r="I183" i="3"/>
  <c r="H183" i="3"/>
  <c r="K182" i="3"/>
  <c r="J182" i="3"/>
  <c r="I182" i="3"/>
  <c r="H182" i="3"/>
  <c r="K181" i="3"/>
  <c r="J181" i="3"/>
  <c r="I181" i="3"/>
  <c r="H181" i="3"/>
  <c r="K180" i="3"/>
  <c r="J180" i="3"/>
  <c r="I180" i="3"/>
  <c r="H180" i="3"/>
  <c r="K179" i="3"/>
  <c r="J179" i="3"/>
  <c r="I179" i="3"/>
  <c r="H179" i="3"/>
  <c r="K178" i="3"/>
  <c r="J178" i="3"/>
  <c r="I178" i="3"/>
  <c r="H178" i="3"/>
  <c r="K177" i="3"/>
  <c r="J177" i="3"/>
  <c r="I177" i="3"/>
  <c r="H177" i="3"/>
  <c r="K176" i="3"/>
  <c r="J176" i="3"/>
  <c r="I176" i="3"/>
  <c r="H176" i="3"/>
  <c r="K175" i="3"/>
  <c r="J175" i="3"/>
  <c r="I175" i="3"/>
  <c r="H175" i="3"/>
  <c r="K174" i="3"/>
  <c r="J174" i="3"/>
  <c r="I174" i="3"/>
  <c r="H174" i="3"/>
  <c r="K173" i="3"/>
  <c r="J173" i="3"/>
  <c r="I173" i="3"/>
  <c r="H173" i="3"/>
  <c r="K172" i="3"/>
  <c r="J172" i="3"/>
  <c r="I172" i="3"/>
  <c r="H172" i="3"/>
  <c r="K171" i="3"/>
  <c r="J171" i="3"/>
  <c r="I171" i="3"/>
  <c r="H171" i="3"/>
  <c r="K170" i="3"/>
  <c r="J170" i="3"/>
  <c r="I170" i="3"/>
  <c r="H170" i="3"/>
  <c r="K169" i="3"/>
  <c r="J169" i="3"/>
  <c r="I169" i="3"/>
  <c r="H169" i="3"/>
  <c r="K168" i="3"/>
  <c r="J168" i="3"/>
  <c r="I168" i="3"/>
  <c r="H168" i="3"/>
  <c r="K167" i="3"/>
  <c r="J167" i="3"/>
  <c r="I167" i="3"/>
  <c r="H167" i="3"/>
  <c r="K166" i="3"/>
  <c r="J166" i="3"/>
  <c r="I166" i="3"/>
  <c r="H166" i="3"/>
  <c r="K165" i="3"/>
  <c r="J165" i="3"/>
  <c r="I165" i="3"/>
  <c r="H165" i="3"/>
  <c r="K164" i="3"/>
  <c r="J164" i="3"/>
  <c r="I164" i="3"/>
  <c r="H164" i="3"/>
  <c r="K163" i="3"/>
  <c r="J163" i="3"/>
  <c r="I163" i="3"/>
  <c r="H163" i="3"/>
  <c r="K162" i="3"/>
  <c r="J162" i="3"/>
  <c r="I162" i="3"/>
  <c r="H162" i="3"/>
  <c r="K161" i="3"/>
  <c r="J161" i="3"/>
  <c r="I161" i="3"/>
  <c r="H161" i="3"/>
  <c r="K160" i="3"/>
  <c r="J160" i="3"/>
  <c r="I160" i="3"/>
  <c r="H160" i="3"/>
  <c r="K159" i="3"/>
  <c r="J159" i="3"/>
  <c r="I159" i="3"/>
  <c r="H159" i="3"/>
  <c r="K158" i="3"/>
  <c r="J158" i="3"/>
  <c r="I158" i="3"/>
  <c r="H158" i="3"/>
  <c r="K157" i="3"/>
  <c r="J157" i="3"/>
  <c r="I157" i="3"/>
  <c r="H157" i="3"/>
  <c r="K156" i="3"/>
  <c r="J156" i="3"/>
  <c r="I156" i="3"/>
  <c r="H156" i="3"/>
  <c r="K155" i="3"/>
  <c r="J155" i="3"/>
  <c r="I155" i="3"/>
  <c r="H155" i="3"/>
  <c r="K154" i="3"/>
  <c r="J154" i="3"/>
  <c r="I154" i="3"/>
  <c r="H154" i="3"/>
  <c r="K153" i="3"/>
  <c r="J153" i="3"/>
  <c r="I153" i="3"/>
  <c r="H153" i="3"/>
  <c r="K152" i="3"/>
  <c r="J152" i="3"/>
  <c r="I152" i="3"/>
  <c r="H152" i="3"/>
  <c r="K151" i="3"/>
  <c r="J151" i="3"/>
  <c r="I151" i="3"/>
  <c r="H151" i="3"/>
  <c r="K150" i="3"/>
  <c r="J150" i="3"/>
  <c r="I150" i="3"/>
  <c r="H150" i="3"/>
  <c r="K149" i="3"/>
  <c r="J149" i="3"/>
  <c r="I149" i="3"/>
  <c r="H149" i="3"/>
  <c r="K148" i="3"/>
  <c r="J148" i="3"/>
  <c r="I148" i="3"/>
  <c r="H148" i="3"/>
  <c r="K147" i="3"/>
  <c r="J147" i="3"/>
  <c r="I147" i="3"/>
  <c r="H147" i="3"/>
  <c r="K146" i="3"/>
  <c r="J146" i="3"/>
  <c r="I146" i="3"/>
  <c r="H146" i="3"/>
  <c r="K145" i="3"/>
  <c r="J145" i="3"/>
  <c r="I145" i="3"/>
  <c r="H145" i="3"/>
  <c r="K144" i="3"/>
  <c r="J144" i="3"/>
  <c r="I144" i="3"/>
  <c r="H144" i="3"/>
  <c r="K143" i="3"/>
  <c r="J143" i="3"/>
  <c r="I143" i="3"/>
  <c r="H143" i="3"/>
  <c r="K142" i="3"/>
  <c r="J142" i="3"/>
  <c r="I142" i="3"/>
  <c r="H142" i="3"/>
  <c r="K141" i="3"/>
  <c r="J141" i="3"/>
  <c r="I141" i="3"/>
  <c r="H141" i="3"/>
  <c r="K140" i="3"/>
  <c r="J140" i="3"/>
  <c r="I140" i="3"/>
  <c r="H140" i="3"/>
  <c r="K139" i="3"/>
  <c r="J139" i="3"/>
  <c r="I139" i="3"/>
  <c r="H139" i="3"/>
  <c r="K138" i="3"/>
  <c r="J138" i="3"/>
  <c r="I138" i="3"/>
  <c r="H138" i="3"/>
  <c r="K137" i="3"/>
  <c r="J137" i="3"/>
  <c r="I137" i="3"/>
  <c r="H137" i="3"/>
  <c r="K136" i="3"/>
  <c r="J136" i="3"/>
  <c r="I136" i="3"/>
  <c r="H136" i="3"/>
  <c r="K135" i="3"/>
  <c r="J135" i="3"/>
  <c r="I135" i="3"/>
  <c r="H135" i="3"/>
  <c r="K134" i="3"/>
  <c r="J134" i="3"/>
  <c r="I134" i="3"/>
  <c r="H134" i="3"/>
  <c r="K133" i="3"/>
  <c r="J133" i="3"/>
  <c r="I133" i="3"/>
  <c r="H133" i="3"/>
  <c r="K132" i="3"/>
  <c r="J132" i="3"/>
  <c r="I132" i="3"/>
  <c r="H132" i="3"/>
  <c r="K131" i="3"/>
  <c r="J131" i="3"/>
  <c r="I131" i="3"/>
  <c r="H131" i="3"/>
  <c r="K130" i="3"/>
  <c r="J130" i="3"/>
  <c r="I130" i="3"/>
  <c r="H130" i="3"/>
  <c r="K129" i="3"/>
  <c r="J129" i="3"/>
  <c r="I129" i="3"/>
  <c r="H129" i="3"/>
  <c r="K128" i="3"/>
  <c r="J128" i="3"/>
  <c r="I128" i="3"/>
  <c r="H128" i="3"/>
  <c r="K127" i="3"/>
  <c r="J127" i="3"/>
  <c r="I127" i="3"/>
  <c r="H127" i="3"/>
  <c r="K126" i="3"/>
  <c r="J126" i="3"/>
  <c r="I126" i="3"/>
  <c r="H126" i="3"/>
  <c r="K125" i="3"/>
  <c r="J125" i="3"/>
  <c r="I125" i="3"/>
  <c r="H125" i="3"/>
  <c r="K124" i="3"/>
  <c r="J124" i="3"/>
  <c r="I124" i="3"/>
  <c r="H124" i="3"/>
  <c r="K123" i="3"/>
  <c r="J123" i="3"/>
  <c r="I123" i="3"/>
  <c r="H123" i="3"/>
  <c r="K122" i="3"/>
  <c r="J122" i="3"/>
  <c r="I122" i="3"/>
  <c r="H122" i="3"/>
  <c r="K121" i="3"/>
  <c r="J121" i="3"/>
  <c r="I121" i="3"/>
  <c r="H121" i="3"/>
  <c r="K120" i="3"/>
  <c r="J120" i="3"/>
  <c r="I120" i="3"/>
  <c r="H120" i="3"/>
  <c r="K119" i="3"/>
  <c r="J119" i="3"/>
  <c r="I119" i="3"/>
  <c r="H119" i="3"/>
  <c r="K118" i="3"/>
  <c r="J118" i="3"/>
  <c r="I118" i="3"/>
  <c r="H118" i="3"/>
  <c r="K117" i="3"/>
  <c r="J117" i="3"/>
  <c r="I117" i="3"/>
  <c r="H117" i="3"/>
  <c r="K116" i="3"/>
  <c r="J116" i="3"/>
  <c r="I116" i="3"/>
  <c r="H116" i="3"/>
  <c r="K115" i="3"/>
  <c r="J115" i="3"/>
  <c r="I115" i="3"/>
  <c r="H115" i="3"/>
  <c r="K114" i="3"/>
  <c r="J114" i="3"/>
  <c r="I114" i="3"/>
  <c r="H114" i="3"/>
  <c r="K113" i="3"/>
  <c r="J113" i="3"/>
  <c r="I113" i="3"/>
  <c r="H113" i="3"/>
  <c r="K112" i="3"/>
  <c r="J112" i="3"/>
  <c r="I112" i="3"/>
  <c r="H112" i="3"/>
  <c r="K111" i="3"/>
  <c r="J111" i="3"/>
  <c r="I111" i="3"/>
  <c r="H111" i="3"/>
  <c r="K110" i="3"/>
  <c r="J110" i="3"/>
  <c r="I110" i="3"/>
  <c r="H110" i="3"/>
  <c r="K109" i="3"/>
  <c r="J109" i="3"/>
  <c r="I109" i="3"/>
  <c r="H109" i="3"/>
  <c r="K108" i="3"/>
  <c r="J108" i="3"/>
  <c r="I108" i="3"/>
  <c r="H108" i="3"/>
  <c r="K107" i="3"/>
  <c r="J107" i="3"/>
  <c r="I107" i="3"/>
  <c r="H107" i="3"/>
  <c r="K106" i="3"/>
  <c r="J106" i="3"/>
  <c r="I106" i="3"/>
  <c r="H106" i="3"/>
  <c r="K105" i="3"/>
  <c r="J105" i="3"/>
  <c r="I105" i="3"/>
  <c r="H105" i="3"/>
  <c r="K104" i="3"/>
  <c r="J104" i="3"/>
  <c r="I104" i="3"/>
  <c r="H104" i="3"/>
  <c r="K103" i="3"/>
  <c r="J103" i="3"/>
  <c r="I103" i="3"/>
  <c r="H103" i="3"/>
  <c r="K102" i="3"/>
  <c r="J102" i="3"/>
  <c r="I102" i="3"/>
  <c r="H102" i="3"/>
  <c r="K101" i="3"/>
  <c r="J101" i="3"/>
  <c r="I101" i="3"/>
  <c r="H101" i="3"/>
  <c r="K100" i="3"/>
  <c r="J100" i="3"/>
  <c r="I100" i="3"/>
  <c r="H100" i="3"/>
  <c r="K99" i="3"/>
  <c r="J99" i="3"/>
  <c r="I99" i="3"/>
  <c r="H99" i="3"/>
  <c r="K98" i="3"/>
  <c r="J98" i="3"/>
  <c r="I98" i="3"/>
  <c r="H98" i="3"/>
  <c r="K97" i="3"/>
  <c r="J97" i="3"/>
  <c r="I97" i="3"/>
  <c r="H97" i="3"/>
  <c r="K96" i="3"/>
  <c r="J96" i="3"/>
  <c r="I96" i="3"/>
  <c r="H96" i="3"/>
  <c r="K95" i="3"/>
  <c r="J95" i="3"/>
  <c r="I95" i="3"/>
  <c r="H95" i="3"/>
  <c r="K94" i="3"/>
  <c r="J94" i="3"/>
  <c r="I94" i="3"/>
  <c r="H94" i="3"/>
  <c r="K93" i="3"/>
  <c r="J93" i="3"/>
  <c r="I93" i="3"/>
  <c r="H93" i="3"/>
  <c r="K92" i="3"/>
  <c r="J92" i="3"/>
  <c r="I92" i="3"/>
  <c r="H92" i="3"/>
  <c r="K91" i="3"/>
  <c r="J91" i="3"/>
  <c r="I91" i="3"/>
  <c r="H91" i="3"/>
  <c r="K90" i="3"/>
  <c r="J90" i="3"/>
  <c r="I90" i="3"/>
  <c r="H90" i="3"/>
  <c r="K89" i="3"/>
  <c r="J89" i="3"/>
  <c r="I89" i="3"/>
  <c r="H89" i="3"/>
  <c r="K88" i="3"/>
  <c r="J88" i="3"/>
  <c r="I88" i="3"/>
  <c r="H88" i="3"/>
  <c r="K87" i="3"/>
  <c r="J87" i="3"/>
  <c r="I87" i="3"/>
  <c r="H87" i="3"/>
  <c r="K86" i="3"/>
  <c r="J86" i="3"/>
  <c r="I86" i="3"/>
  <c r="H86" i="3"/>
  <c r="K85" i="3"/>
  <c r="J85" i="3"/>
  <c r="I85" i="3"/>
  <c r="H85" i="3"/>
  <c r="K84" i="3"/>
  <c r="J84" i="3"/>
  <c r="I84" i="3"/>
  <c r="H84" i="3"/>
  <c r="K83" i="3"/>
  <c r="J83" i="3"/>
  <c r="I83" i="3"/>
  <c r="H83" i="3"/>
  <c r="K82" i="3"/>
  <c r="J82" i="3"/>
  <c r="I82" i="3"/>
  <c r="H82" i="3"/>
  <c r="K81" i="3"/>
  <c r="J81" i="3"/>
  <c r="I81" i="3"/>
  <c r="H81" i="3"/>
  <c r="K80" i="3"/>
  <c r="J80" i="3"/>
  <c r="I80" i="3"/>
  <c r="H80" i="3"/>
  <c r="K79" i="3"/>
  <c r="J79" i="3"/>
  <c r="I79" i="3"/>
  <c r="H79" i="3"/>
  <c r="K78" i="3"/>
  <c r="J78" i="3"/>
  <c r="I78" i="3"/>
  <c r="H78" i="3"/>
  <c r="K77" i="3"/>
  <c r="J77" i="3"/>
  <c r="I77" i="3"/>
  <c r="H77" i="3"/>
  <c r="K76" i="3"/>
  <c r="J76" i="3"/>
  <c r="I76" i="3"/>
  <c r="H76" i="3"/>
  <c r="K75" i="3"/>
  <c r="J75" i="3"/>
  <c r="I75" i="3"/>
  <c r="H75" i="3"/>
  <c r="K74" i="3"/>
  <c r="J74" i="3"/>
  <c r="I74" i="3"/>
  <c r="H74" i="3"/>
  <c r="K73" i="3"/>
  <c r="J73" i="3"/>
  <c r="I73" i="3"/>
  <c r="H73" i="3"/>
  <c r="K72" i="3"/>
  <c r="J72" i="3"/>
  <c r="I72" i="3"/>
  <c r="H72" i="3"/>
  <c r="K71" i="3"/>
  <c r="J71" i="3"/>
  <c r="I71" i="3"/>
  <c r="H71" i="3"/>
  <c r="K70" i="3"/>
  <c r="J70" i="3"/>
  <c r="I70" i="3"/>
  <c r="H70" i="3"/>
  <c r="K69" i="3"/>
  <c r="J69" i="3"/>
  <c r="I69" i="3"/>
  <c r="H69" i="3"/>
  <c r="K68" i="3"/>
  <c r="J68" i="3"/>
  <c r="I68" i="3"/>
  <c r="H68" i="3"/>
  <c r="K67" i="3"/>
  <c r="J67" i="3"/>
  <c r="I67" i="3"/>
  <c r="H67" i="3"/>
  <c r="K66" i="3"/>
  <c r="J66" i="3"/>
  <c r="I66" i="3"/>
  <c r="H66" i="3"/>
  <c r="K65" i="3"/>
  <c r="J65" i="3"/>
  <c r="I65" i="3"/>
  <c r="H65" i="3"/>
  <c r="K64" i="3"/>
  <c r="J64" i="3"/>
  <c r="I64" i="3"/>
  <c r="H64" i="3"/>
  <c r="K63" i="3"/>
  <c r="J63" i="3"/>
  <c r="I63" i="3"/>
  <c r="H63" i="3"/>
  <c r="K62" i="3"/>
  <c r="J62" i="3"/>
  <c r="I62" i="3"/>
  <c r="H62" i="3"/>
  <c r="K61" i="3"/>
  <c r="J61" i="3"/>
  <c r="I61" i="3"/>
  <c r="H61" i="3"/>
  <c r="K60" i="3"/>
  <c r="J60" i="3"/>
  <c r="I60" i="3"/>
  <c r="H60" i="3"/>
  <c r="K59" i="3"/>
  <c r="J59" i="3"/>
  <c r="I59" i="3"/>
  <c r="H59" i="3"/>
  <c r="K58" i="3"/>
  <c r="J58" i="3"/>
  <c r="I58" i="3"/>
  <c r="H58" i="3"/>
  <c r="K57" i="3"/>
  <c r="J57" i="3"/>
  <c r="I57" i="3"/>
  <c r="H57" i="3"/>
  <c r="K56" i="3"/>
  <c r="J56" i="3"/>
  <c r="I56" i="3"/>
  <c r="H56" i="3"/>
  <c r="K55" i="3"/>
  <c r="J55" i="3"/>
  <c r="I55" i="3"/>
  <c r="H55" i="3"/>
  <c r="K54" i="3"/>
  <c r="J54" i="3"/>
  <c r="I54" i="3"/>
  <c r="H54" i="3"/>
  <c r="K53" i="3"/>
  <c r="J53" i="3"/>
  <c r="I53" i="3"/>
  <c r="H53" i="3"/>
  <c r="K52" i="3"/>
  <c r="J52" i="3"/>
  <c r="I52" i="3"/>
  <c r="H52" i="3"/>
  <c r="K51" i="3"/>
  <c r="J51" i="3"/>
  <c r="I51" i="3"/>
  <c r="H51" i="3"/>
  <c r="K50" i="3"/>
  <c r="J50" i="3"/>
  <c r="I50" i="3"/>
  <c r="H50" i="3"/>
  <c r="K49" i="3"/>
  <c r="J49" i="3"/>
  <c r="I49" i="3"/>
  <c r="H49" i="3"/>
  <c r="K48" i="3"/>
  <c r="J48" i="3"/>
  <c r="I48" i="3"/>
  <c r="H48" i="3"/>
  <c r="K47" i="3"/>
  <c r="J47" i="3"/>
  <c r="I47" i="3"/>
  <c r="H47" i="3"/>
  <c r="K46" i="3"/>
  <c r="J46" i="3"/>
  <c r="I46" i="3"/>
  <c r="H46" i="3"/>
  <c r="K45" i="3"/>
  <c r="J45" i="3"/>
  <c r="I45" i="3"/>
  <c r="H45" i="3"/>
  <c r="K44" i="3"/>
  <c r="J44" i="3"/>
  <c r="I44" i="3"/>
  <c r="H44" i="3"/>
  <c r="K43" i="3"/>
  <c r="J43" i="3"/>
  <c r="I43" i="3"/>
  <c r="H43" i="3"/>
  <c r="K42" i="3"/>
  <c r="J42" i="3"/>
  <c r="I42" i="3"/>
  <c r="H42" i="3"/>
  <c r="K41" i="3"/>
  <c r="J41" i="3"/>
  <c r="I41" i="3"/>
  <c r="H41" i="3"/>
  <c r="K40" i="3"/>
  <c r="J40" i="3"/>
  <c r="I40" i="3"/>
  <c r="H40" i="3"/>
  <c r="K39" i="3"/>
  <c r="J39" i="3"/>
  <c r="I39" i="3"/>
  <c r="H39" i="3"/>
  <c r="K38" i="3"/>
  <c r="J38" i="3"/>
  <c r="I38" i="3"/>
  <c r="H38" i="3"/>
  <c r="K37" i="3"/>
  <c r="J37" i="3"/>
  <c r="I37" i="3"/>
  <c r="H37" i="3"/>
  <c r="K36" i="3"/>
  <c r="J36" i="3"/>
  <c r="I36" i="3"/>
  <c r="H36" i="3"/>
  <c r="K35" i="3"/>
  <c r="J35" i="3"/>
  <c r="I35" i="3"/>
  <c r="H35" i="3"/>
  <c r="K34" i="3"/>
  <c r="J34" i="3"/>
  <c r="I34" i="3"/>
  <c r="H34" i="3"/>
  <c r="K33" i="3"/>
  <c r="J33" i="3"/>
  <c r="I33" i="3"/>
  <c r="H33" i="3"/>
  <c r="K32" i="3"/>
  <c r="J32" i="3"/>
  <c r="I32" i="3"/>
  <c r="H32" i="3"/>
  <c r="K30" i="3"/>
  <c r="J30" i="3"/>
  <c r="I30" i="3"/>
  <c r="H30" i="3"/>
  <c r="K29" i="3"/>
  <c r="J29" i="3"/>
  <c r="I29" i="3"/>
  <c r="H29" i="3"/>
  <c r="K28" i="3"/>
  <c r="J28" i="3"/>
  <c r="I28" i="3"/>
  <c r="H28" i="3"/>
  <c r="K27" i="3"/>
  <c r="J27" i="3"/>
  <c r="I27" i="3"/>
  <c r="H27" i="3"/>
  <c r="K26" i="3"/>
  <c r="J26" i="3"/>
  <c r="I26" i="3"/>
  <c r="H26" i="3"/>
  <c r="K25" i="3"/>
  <c r="J25" i="3"/>
  <c r="I25" i="3"/>
  <c r="H25" i="3"/>
  <c r="K24" i="3"/>
  <c r="J24" i="3"/>
  <c r="I24" i="3"/>
  <c r="H24" i="3"/>
  <c r="K23" i="3"/>
  <c r="J23" i="3"/>
  <c r="I23" i="3"/>
  <c r="H23" i="3"/>
  <c r="K22" i="3"/>
  <c r="J22" i="3"/>
  <c r="I22" i="3"/>
  <c r="H22" i="3"/>
  <c r="K21" i="3"/>
  <c r="J21" i="3"/>
  <c r="I21" i="3"/>
  <c r="H21" i="3"/>
  <c r="K20" i="3"/>
  <c r="J20" i="3"/>
  <c r="I20" i="3"/>
  <c r="H20" i="3"/>
  <c r="K19" i="3"/>
  <c r="J19" i="3"/>
  <c r="I19" i="3"/>
  <c r="H19" i="3"/>
  <c r="K18" i="3"/>
  <c r="J18" i="3"/>
  <c r="I18" i="3"/>
  <c r="H18" i="3"/>
  <c r="K17" i="3"/>
  <c r="J17" i="3"/>
  <c r="I17" i="3"/>
  <c r="H17" i="3"/>
  <c r="K16" i="3"/>
  <c r="J16" i="3"/>
  <c r="I16" i="3"/>
  <c r="H16" i="3"/>
  <c r="K15" i="3"/>
  <c r="J15" i="3"/>
  <c r="I15" i="3"/>
  <c r="H15" i="3"/>
  <c r="K14" i="3"/>
  <c r="J14" i="3"/>
  <c r="I14" i="3"/>
  <c r="H14" i="3"/>
  <c r="K13" i="3"/>
  <c r="J13" i="3"/>
  <c r="I13" i="3"/>
  <c r="H13" i="3"/>
  <c r="K12" i="3"/>
  <c r="J12" i="3"/>
  <c r="I12" i="3"/>
  <c r="H12" i="3"/>
  <c r="K11" i="3"/>
  <c r="J11" i="3"/>
  <c r="I11" i="3"/>
  <c r="H11" i="3"/>
  <c r="K10" i="3"/>
  <c r="J10" i="3"/>
  <c r="I10" i="3"/>
  <c r="H10" i="3"/>
  <c r="K9" i="3"/>
  <c r="J9" i="3"/>
  <c r="I9" i="3"/>
  <c r="H9" i="3"/>
  <c r="K8" i="3"/>
  <c r="J8" i="3"/>
  <c r="I8" i="3"/>
  <c r="H8" i="3"/>
  <c r="K7" i="3"/>
  <c r="J7" i="3"/>
  <c r="I7" i="3"/>
  <c r="H7" i="3"/>
  <c r="K6" i="3"/>
  <c r="J6" i="3"/>
  <c r="I6" i="3"/>
  <c r="H6" i="3"/>
  <c r="K4" i="3"/>
  <c r="J4" i="3"/>
  <c r="I4" i="3"/>
  <c r="H4" i="3"/>
  <c r="K3" i="3"/>
  <c r="J3" i="3"/>
  <c r="I3" i="3"/>
  <c r="H3" i="3"/>
</calcChain>
</file>

<file path=xl/sharedStrings.xml><?xml version="1.0" encoding="utf-8"?>
<sst xmlns="http://schemas.openxmlformats.org/spreadsheetml/2006/main" count="3931" uniqueCount="2160">
  <si>
    <t>Entrez GeneID (including FAR)</t>
  </si>
  <si>
    <t>Gene Length (kb)</t>
  </si>
  <si>
    <t>Gene Symbol</t>
  </si>
  <si>
    <t>Descriptions</t>
  </si>
  <si>
    <t>Link to UCSC</t>
  </si>
  <si>
    <t>GeneID Link to NCBI</t>
  </si>
  <si>
    <t>RNA accession Link to NCBI</t>
  </si>
  <si>
    <t>Chromosome</t>
  </si>
  <si>
    <t>Start</t>
  </si>
  <si>
    <t>End</t>
  </si>
  <si>
    <t>Orientation</t>
  </si>
  <si>
    <t>Biological Process (GOID)</t>
  </si>
  <si>
    <t>Biological Process (GOTerm)</t>
  </si>
  <si>
    <t>Cellular Component (GOID)</t>
  </si>
  <si>
    <t>Cellular Component (GOTerm)</t>
  </si>
  <si>
    <t>Molecular Function (GOID)</t>
  </si>
  <si>
    <t>Molecular Function (GOTerm)</t>
  </si>
  <si>
    <t>KEGG Pathway</t>
  </si>
  <si>
    <t>chr15</t>
  </si>
  <si>
    <t>-</t>
  </si>
  <si>
    <t>GO:0005576 // GO:0005615</t>
  </si>
  <si>
    <t>extracellular region // extracellular space</t>
  </si>
  <si>
    <t>chr9</t>
  </si>
  <si>
    <t>+</t>
  </si>
  <si>
    <t>GO:0003674</t>
  </si>
  <si>
    <t>molecular_function</t>
  </si>
  <si>
    <t>393984</t>
  </si>
  <si>
    <t>aacs</t>
  </si>
  <si>
    <t>acetoacetyl-CoA synthetase</t>
  </si>
  <si>
    <t>chr5</t>
  </si>
  <si>
    <t>GO:0006629 // GO:0006631 // GO:0008152</t>
  </si>
  <si>
    <t>lipid metabolic process // fatty acid metabolic process // metabolic process</t>
  </si>
  <si>
    <t>GO:0005737 // GO:0005829</t>
  </si>
  <si>
    <t>cytoplasm // cytosol</t>
  </si>
  <si>
    <t>GO:0000166 // GO:0003824 // GO:0005524 // GO:0016874 // GO:0030729</t>
  </si>
  <si>
    <t>nucleotide binding // catalytic activity // ATP binding // ligase activity // acetoacetate-CoA ligase activity</t>
  </si>
  <si>
    <t>chr11</t>
  </si>
  <si>
    <t>GO:0008152</t>
  </si>
  <si>
    <t>metabolic process</t>
  </si>
  <si>
    <t>GO:0016021</t>
  </si>
  <si>
    <t>integral to membrane</t>
  </si>
  <si>
    <t>chr18</t>
  </si>
  <si>
    <t>GO:0007264</t>
  </si>
  <si>
    <t>small GTPase mediated signal transduction</t>
  </si>
  <si>
    <t>GO:0000166 // GO:0005525</t>
  </si>
  <si>
    <t>nucleotide binding // GTP binding</t>
  </si>
  <si>
    <t>chr6</t>
  </si>
  <si>
    <t>chr3</t>
  </si>
  <si>
    <t>324940</t>
  </si>
  <si>
    <t>aars</t>
  </si>
  <si>
    <t>alanyl-tRNA synthetase</t>
  </si>
  <si>
    <t>GO:0006419 // GO:0006419 // GO:0043039 // GO:0043039</t>
  </si>
  <si>
    <t>alanyl-tRNA aminoacylation // alanyl-tRNA aminoacylation // tRNA aminoacylation // tRNA aminoacylation</t>
  </si>
  <si>
    <t>GO:0005737 // GO:0005737</t>
  </si>
  <si>
    <t>cytoplasm // cytoplasm</t>
  </si>
  <si>
    <t>GO:0000166 // GO:0000166 // GO:0003676 // GO:0003676 // GO:0004812 // GO:0004812 // GO:0004813 // GO:0004813 // GO:0005524 // GO:0005524 // GO:0016876 // GO:0016876</t>
  </si>
  <si>
    <t>nucleotide binding // nucleotide binding // nucleic acid binding // nucleic acid binding // aminoacyl-tRNA ligase activity // aminoacyl-tRNA ligase activity // alanine-tRNA ligase activity // alanine-tRNA ligase activity // ATP binding // ATP binding // ligase activity, forming aminoacyl-tRNA and related compounds // ligase activity, forming aminoacyl-tRNA and related compounds</t>
  </si>
  <si>
    <t>chr12</t>
  </si>
  <si>
    <t>GO:0005737</t>
  </si>
  <si>
    <t>cytoplasm</t>
  </si>
  <si>
    <t>chr25</t>
  </si>
  <si>
    <t>GO:0005634</t>
  </si>
  <si>
    <t>nucleus</t>
  </si>
  <si>
    <t>chr1</t>
  </si>
  <si>
    <t>chr14</t>
  </si>
  <si>
    <t>GO:0008150</t>
  </si>
  <si>
    <t>biological_process</t>
  </si>
  <si>
    <t>GO:0005575</t>
  </si>
  <si>
    <t>cellular_component</t>
  </si>
  <si>
    <t>chr24</t>
  </si>
  <si>
    <t>chr19</t>
  </si>
  <si>
    <t>chr16</t>
  </si>
  <si>
    <t>GO:0006810 // GO:0055085</t>
  </si>
  <si>
    <t>transport // transmembrane transport</t>
  </si>
  <si>
    <t>chr13</t>
  </si>
  <si>
    <t>GO:0016020 // GO:0016021</t>
  </si>
  <si>
    <t>membrane // integral to membrane</t>
  </si>
  <si>
    <t>chr4</t>
  </si>
  <si>
    <t>chr8</t>
  </si>
  <si>
    <t>chr2</t>
  </si>
  <si>
    <t>chr23</t>
  </si>
  <si>
    <t>GO:0016020</t>
  </si>
  <si>
    <t>membrane</t>
  </si>
  <si>
    <t>chr21</t>
  </si>
  <si>
    <t>chr17</t>
  </si>
  <si>
    <t>chr7</t>
  </si>
  <si>
    <t>GO:0006468 // GO:0016310</t>
  </si>
  <si>
    <t>protein phosphorylation // phosphorylation</t>
  </si>
  <si>
    <t>GO:0008270 // GO:0046872</t>
  </si>
  <si>
    <t>zinc ion binding // metal ion binding</t>
  </si>
  <si>
    <t>GO:0008152 // GO:0055114</t>
  </si>
  <si>
    <t>metabolic process // oxidation-reduction process</t>
  </si>
  <si>
    <t>chr10</t>
  </si>
  <si>
    <t>30643</t>
  </si>
  <si>
    <t>acat2</t>
  </si>
  <si>
    <t>acetyl-CoA acetyltransferase 2</t>
  </si>
  <si>
    <t>chr20</t>
  </si>
  <si>
    <t>GO:0003824 // GO:0016740 // GO:0016747</t>
  </si>
  <si>
    <t>catalytic activity // transferase activity // transferase activity, transferring acyl groups other than amino-acyl groups</t>
  </si>
  <si>
    <t>GO:0006810</t>
  </si>
  <si>
    <t>transport</t>
  </si>
  <si>
    <t>GO:0005886 // GO:0016020 // GO:0016021</t>
  </si>
  <si>
    <t>plasma membrane // membrane // integral to membrane</t>
  </si>
  <si>
    <t>chr22</t>
  </si>
  <si>
    <t>GO:0005783 // GO:0005789 // GO:0016020 // GO:0016021</t>
  </si>
  <si>
    <t>endoplasmic reticulum // endoplasmic reticulum membrane // membrane // integral to membrane</t>
  </si>
  <si>
    <t>436922</t>
  </si>
  <si>
    <t>aclya</t>
  </si>
  <si>
    <t>ATP citrate lyase a</t>
  </si>
  <si>
    <t>GO:0008152 // GO:0044262</t>
  </si>
  <si>
    <t>metabolic process // cellular carbohydrate metabolic process</t>
  </si>
  <si>
    <t>GO:0000166 // GO:0003824 // GO:0003878 // GO:0004775 // GO:0005488 // GO:0005524 // GO:0016829 // GO:0016874 // GO:0046912</t>
  </si>
  <si>
    <t>nucleotide binding // catalytic activity // ATP citrate synthase activity // succinate-CoA ligase (ADP-forming) activity // binding // ATP binding // lyase activity // ligase activity // transferase activity, transferring acyl groups, acyl groups converted into alkyl on transfer</t>
  </si>
  <si>
    <t>GO:0003824</t>
  </si>
  <si>
    <t>catalytic activity</t>
  </si>
  <si>
    <t>GO:0005576</t>
  </si>
  <si>
    <t>extracellular region</t>
  </si>
  <si>
    <t>335159</t>
  </si>
  <si>
    <t>acsbg2</t>
  </si>
  <si>
    <t>acyl-CoA synthetase bubblegum family member 2</t>
  </si>
  <si>
    <t>393622</t>
  </si>
  <si>
    <t>acsl4a</t>
  </si>
  <si>
    <t>acyl-CoA synthetase long-chain family member 4a</t>
  </si>
  <si>
    <t>541435</t>
  </si>
  <si>
    <t>acss1</t>
  </si>
  <si>
    <t>acyl-CoA synthetase short-chain family member 1</t>
  </si>
  <si>
    <t>GO:0003824 // GO:0003987 // GO:0016208</t>
  </si>
  <si>
    <t>catalytic activity // acetate-CoA ligase activity // AMP binding</t>
  </si>
  <si>
    <t>GO:0005737 // GO:0005856</t>
  </si>
  <si>
    <t>cytoplasm // cytoskeleton</t>
  </si>
  <si>
    <t>GO:0000166 // GO:0005524</t>
  </si>
  <si>
    <t>nucleotide binding // ATP binding</t>
  </si>
  <si>
    <t>GO:0004222 // GO:0008233 // GO:0008237 // GO:0008270 // GO:0016787 // GO:0046872</t>
  </si>
  <si>
    <t>metalloendopeptidase activity // peptidase activity // metallopeptidase activity // zinc ion binding // hydrolase activity // metal ion binding</t>
  </si>
  <si>
    <t>569571</t>
  </si>
  <si>
    <t>adamts15</t>
  </si>
  <si>
    <t>ADAM metallopeptidase with thrombospondin type 1 motif, 15</t>
  </si>
  <si>
    <t>GO:0005622</t>
  </si>
  <si>
    <t>intracellular</t>
  </si>
  <si>
    <t>GO:0005179</t>
  </si>
  <si>
    <t>hormone activity</t>
  </si>
  <si>
    <t>GO:0055114</t>
  </si>
  <si>
    <t>oxidation-reduction process</t>
  </si>
  <si>
    <t>GO:0004872</t>
  </si>
  <si>
    <t>receptor activity</t>
  </si>
  <si>
    <t>560140</t>
  </si>
  <si>
    <t>adipor2</t>
  </si>
  <si>
    <t>adiponectin receptor 2</t>
  </si>
  <si>
    <t>403114</t>
  </si>
  <si>
    <t>adm2</t>
  </si>
  <si>
    <t>adrenomedullin 2</t>
  </si>
  <si>
    <t>GO:0006355</t>
  </si>
  <si>
    <t>regulation of transcription, DNA-dependent</t>
  </si>
  <si>
    <t>GO:0008270</t>
  </si>
  <si>
    <t>zinc ion binding</t>
  </si>
  <si>
    <t>GO:0003676 // GO:0003677 // GO:0008270 // GO:0046872</t>
  </si>
  <si>
    <t>nucleic acid binding // DNA binding // zinc ion binding // metal ion binding</t>
  </si>
  <si>
    <t>GO:0003824 // GO:0008762 // GO:0016491 // GO:0016614 // GO:0050660</t>
  </si>
  <si>
    <t>catalytic activity // UDP-N-acetylmuramate dehydrogenase activity // oxidoreductase activity // oxidoreductase activity, acting on CH-OH group of donors // flavin adenine dinucleotide binding</t>
  </si>
  <si>
    <t>GO:0005576 // GO:0005576</t>
  </si>
  <si>
    <t>extracellular region // extracellular region</t>
  </si>
  <si>
    <t>GO:0005615</t>
  </si>
  <si>
    <t>extracellular space</t>
  </si>
  <si>
    <t>GO:0004867 // GO:0004867</t>
  </si>
  <si>
    <t>serine-type endopeptidase inhibitor activity // serine-type endopeptidase inhibitor activity</t>
  </si>
  <si>
    <t>GO:0006950</t>
  </si>
  <si>
    <t>response to stress</t>
  </si>
  <si>
    <t>GO:0004869</t>
  </si>
  <si>
    <t>cysteine-type endopeptidase inhibitor activity</t>
  </si>
  <si>
    <t>GO:0005509</t>
  </si>
  <si>
    <t>calcium ion binding</t>
  </si>
  <si>
    <t>GO:0005488</t>
  </si>
  <si>
    <t>binding</t>
  </si>
  <si>
    <t>GO:0005622 // GO:0005634</t>
  </si>
  <si>
    <t>intracellular // nucleus</t>
  </si>
  <si>
    <t>GO:0000166 // GO:0004672 // GO:0004674 // GO:0005524 // GO:0016301 // GO:0016740 // GO:0016772</t>
  </si>
  <si>
    <t>nucleotide binding // protein kinase activity // protein serine/threonine kinase activity // ATP binding // kinase activity // transferase activity // transferase activity, transferring phosphorus-containing groups</t>
  </si>
  <si>
    <t>GO:0006096 // GO:0008152</t>
  </si>
  <si>
    <t>glycolysis // metabolic process</t>
  </si>
  <si>
    <t>GO:0003824 // GO:0004332 // GO:0016829</t>
  </si>
  <si>
    <t>catalytic activity // fructose-bisphosphate aldolase activity // lyase activity</t>
  </si>
  <si>
    <t>321664</t>
  </si>
  <si>
    <t>aldob</t>
  </si>
  <si>
    <t>aldolase b, fructose-bisphosphate</t>
  </si>
  <si>
    <t>322732</t>
  </si>
  <si>
    <t>alox12</t>
  </si>
  <si>
    <t>arachidonate 12-lipoxygenase</t>
  </si>
  <si>
    <t>GO:0006691 // GO:0055114</t>
  </si>
  <si>
    <t>leukotriene metabolic process // oxidation-reduction process</t>
  </si>
  <si>
    <t>GO:0005506 // GO:0016165 // GO:0016491 // GO:0016702 // GO:0046872</t>
  </si>
  <si>
    <t>iron ion binding // lipoxygenase activity // oxidoreductase activity // oxidoreductase activity, acting on single donors with incorporation of molecular oxygen, incorporation of two atoms of oxygen // metal ion binding</t>
  </si>
  <si>
    <t>GO:0003677 // GO:0003700 // GO:0043565</t>
  </si>
  <si>
    <t>DNA binding // sequence-specific DNA binding transcription factor activity // sequence-specific DNA binding</t>
  </si>
  <si>
    <t>GO:0008083</t>
  </si>
  <si>
    <t>growth factor activity</t>
  </si>
  <si>
    <t>GO:0005102</t>
  </si>
  <si>
    <t>receptor binding</t>
  </si>
  <si>
    <t>GO:0007165</t>
  </si>
  <si>
    <t>signal transduction</t>
  </si>
  <si>
    <t>561927</t>
  </si>
  <si>
    <t>angptl6</t>
  </si>
  <si>
    <t>angiopoietin-like 6</t>
  </si>
  <si>
    <t>GO:0005509 // GO:0005544</t>
  </si>
  <si>
    <t>calcium ion binding // calcium-dependent phospholipid binding</t>
  </si>
  <si>
    <t>334724</t>
  </si>
  <si>
    <t>anxa1a</t>
  </si>
  <si>
    <t>annexin A1a</t>
  </si>
  <si>
    <t>GO:0004859 // GO:0005509 // GO:0005544</t>
  </si>
  <si>
    <t>phospholipase inhibitor activity // calcium ion binding // calcium-dependent phospholipid binding</t>
  </si>
  <si>
    <t>494158</t>
  </si>
  <si>
    <t>anxa1c</t>
  </si>
  <si>
    <t>annexin A1c</t>
  </si>
  <si>
    <t>GO:0005488 // GO:0008565</t>
  </si>
  <si>
    <t>binding // protein transporter activity</t>
  </si>
  <si>
    <t>403021</t>
  </si>
  <si>
    <t>ap1m2</t>
  </si>
  <si>
    <t>adaptor-related protein complex 1, mu 2 subunit</t>
  </si>
  <si>
    <t>GO:0006810 // GO:0006886 // GO:0006892 // GO:0009887 // GO:0016192</t>
  </si>
  <si>
    <t>transport // intracellular protein transport // post-Golgi vesicle-mediated transport // organ morphogenesis // vesicle-mediated transport</t>
  </si>
  <si>
    <t>GO:0030131</t>
  </si>
  <si>
    <t>clathrin adaptor complex</t>
  </si>
  <si>
    <t>GO:0005215</t>
  </si>
  <si>
    <t>transporter activity</t>
  </si>
  <si>
    <t>322614</t>
  </si>
  <si>
    <t>arg2</t>
  </si>
  <si>
    <t>arginase, type II</t>
  </si>
  <si>
    <t>GO:0006525</t>
  </si>
  <si>
    <t>arginine metabolic process</t>
  </si>
  <si>
    <t>GO:0004053 // GO:0016787 // GO:0016813 // GO:0046872</t>
  </si>
  <si>
    <t>arginase activity // hydrolase activity // hydrolase activity, acting on carbon-nitrogen (but not peptide) bonds, in linear amidines // metal ion binding</t>
  </si>
  <si>
    <t>GO:0003677</t>
  </si>
  <si>
    <t>DNA binding</t>
  </si>
  <si>
    <t>GO:0003676 // GO:0008270 // GO:0046872</t>
  </si>
  <si>
    <t>nucleic acid binding // zinc ion binding // metal ion binding</t>
  </si>
  <si>
    <t>GO:0005634 // GO:0005667</t>
  </si>
  <si>
    <t>nucleus // transcription factor complex</t>
  </si>
  <si>
    <t>GO:0006351 // GO:0006355 // GO:0007275</t>
  </si>
  <si>
    <t>transcription, DNA-dependent // regulation of transcription, DNA-dependent // multicellular organismal development</t>
  </si>
  <si>
    <t>GO:0006629</t>
  </si>
  <si>
    <t>lipid metabolic process</t>
  </si>
  <si>
    <t>GO:0035556</t>
  </si>
  <si>
    <t>intracellular signal transduction</t>
  </si>
  <si>
    <t>402848</t>
  </si>
  <si>
    <t>asb2b</t>
  </si>
  <si>
    <t>ankyrin repeat and SOCS box-containing 2b</t>
  </si>
  <si>
    <t>394138</t>
  </si>
  <si>
    <t>asns</t>
  </si>
  <si>
    <t>asparagine synthetase</t>
  </si>
  <si>
    <t>GO:0006529 // GO:0008152</t>
  </si>
  <si>
    <t>asparagine biosynthetic process // metabolic process</t>
  </si>
  <si>
    <t>GO:0004066</t>
  </si>
  <si>
    <t>asparagine synthase (glutamine-hydrolyzing) activity</t>
  </si>
  <si>
    <t>100124594</t>
  </si>
  <si>
    <t>aspg</t>
  </si>
  <si>
    <t>asparaginase homolog (S. cerevisiae)</t>
  </si>
  <si>
    <t>GO:0006520</t>
  </si>
  <si>
    <t>cellular amino acid metabolic process</t>
  </si>
  <si>
    <t>GO:0004067</t>
  </si>
  <si>
    <t>asparaginase activity</t>
  </si>
  <si>
    <t>GO:0003677 // GO:0003700 // GO:0043565 // GO:0046983</t>
  </si>
  <si>
    <t>DNA binding // sequence-specific DNA binding transcription factor activity // sequence-specific DNA binding // protein dimerization activity</t>
  </si>
  <si>
    <t>393939</t>
  </si>
  <si>
    <t>atf3</t>
  </si>
  <si>
    <t>activating transcription factor 3</t>
  </si>
  <si>
    <t>GO:0006355 // GO:0009615</t>
  </si>
  <si>
    <t>regulation of transcription, DNA-dependent // response to virus</t>
  </si>
  <si>
    <t>GO:0006351 // GO:0006355</t>
  </si>
  <si>
    <t>transcription, DNA-dependent // regulation of transcription, DNA-dependent</t>
  </si>
  <si>
    <t>556410</t>
  </si>
  <si>
    <t>atf4b2</t>
  </si>
  <si>
    <t>activating transcription factor 4b2</t>
  </si>
  <si>
    <t>GO:0006468</t>
  </si>
  <si>
    <t>protein phosphorylation</t>
  </si>
  <si>
    <t>GO:0005975</t>
  </si>
  <si>
    <t>carbohydrate metabolic process</t>
  </si>
  <si>
    <t>57935</t>
  </si>
  <si>
    <t>bactin2</t>
  </si>
  <si>
    <t>GO:0007155</t>
  </si>
  <si>
    <t>cell adhesion</t>
  </si>
  <si>
    <t>GO:0006886</t>
  </si>
  <si>
    <t>intracellular protein transport</t>
  </si>
  <si>
    <t>GO:0005783 // GO:0016021</t>
  </si>
  <si>
    <t>endoplasmic reticulum // integral to membrane</t>
  </si>
  <si>
    <t>570610</t>
  </si>
  <si>
    <t>bcar3</t>
  </si>
  <si>
    <t>breast cancer anti-estrogen resistance 3</t>
  </si>
  <si>
    <t>GO:0005085</t>
  </si>
  <si>
    <t>guanyl-nucleotide exchange factor activity</t>
  </si>
  <si>
    <t>337412</t>
  </si>
  <si>
    <t>bcat1</t>
  </si>
  <si>
    <t>branched chain aminotransferase 1, cytosolic</t>
  </si>
  <si>
    <t>GO:0008152 // GO:0008652 // GO:0009081 // GO:0009082</t>
  </si>
  <si>
    <t>metabolic process // cellular amino acid biosynthetic process // branched chain family amino acid metabolic process // branched chain family amino acid biosynthetic process</t>
  </si>
  <si>
    <t>GO:0003824 // GO:0004084 // GO:0008483 // GO:0016740 // GO:0052654 // GO:0052655 // GO:0052656</t>
  </si>
  <si>
    <t>catalytic activity // branched-chain-amino-acid transaminase activity // transaminase activity // transferase activity // L-leucine transaminase activity // L-valine transaminase activity // L-isoleucine transaminase activity</t>
  </si>
  <si>
    <t>GO:0003676 // GO:0008270</t>
  </si>
  <si>
    <t>nucleic acid binding // zinc ion binding</t>
  </si>
  <si>
    <t>GO:0042981</t>
  </si>
  <si>
    <t>regulation of apoptosis</t>
  </si>
  <si>
    <t>100001936</t>
  </si>
  <si>
    <t>bcl6ab</t>
  </si>
  <si>
    <t>B-cell CLL/lymphoma 6a, genome duplicate b</t>
  </si>
  <si>
    <t>GO:0005739 // GO:0005743 // GO:0016020 // GO:0016021</t>
  </si>
  <si>
    <t>mitochondrion // mitochondrial inner membrane // membrane // integral to membrane</t>
  </si>
  <si>
    <t>GO:0000166 // GO:0016491</t>
  </si>
  <si>
    <t>nucleotide binding // oxidoreductase activity</t>
  </si>
  <si>
    <t>564030</t>
  </si>
  <si>
    <t>bik</t>
  </si>
  <si>
    <t>BCL2-interacting killer (apoptosis-inducing)</t>
  </si>
  <si>
    <t>GO:0043065 // GO:0043280</t>
  </si>
  <si>
    <t>positive regulation of apoptosis // positive regulation of caspase activity</t>
  </si>
  <si>
    <t>GO:0040007</t>
  </si>
  <si>
    <t>growth</t>
  </si>
  <si>
    <t>GO:0004222 // GO:0005509 // GO:0008233 // GO:0008237 // GO:0008270 // GO:0016787 // GO:0046872</t>
  </si>
  <si>
    <t>metalloendopeptidase activity // calcium ion binding // peptidase activity // metallopeptidase activity // zinc ion binding // hydrolase activity // metal ion binding</t>
  </si>
  <si>
    <t>557567</t>
  </si>
  <si>
    <t>bmp7b</t>
  </si>
  <si>
    <t>bone morphogenetic protein 7b</t>
  </si>
  <si>
    <t>393611</t>
  </si>
  <si>
    <t>c6</t>
  </si>
  <si>
    <t>complement component 6</t>
  </si>
  <si>
    <t>GO:0006955</t>
  </si>
  <si>
    <t>immune response</t>
  </si>
  <si>
    <t>GO:0005579</t>
  </si>
  <si>
    <t>membrane attack complex</t>
  </si>
  <si>
    <t>GO:0000166 // GO:0004672 // GO:0004674 // GO:0005524 // GO:0016301 // GO:0016772</t>
  </si>
  <si>
    <t>nucleotide binding // protein kinase activity // protein serine/threonine kinase activity // ATP binding // kinase activity // transferase activity, transferring phosphorus-containing groups</t>
  </si>
  <si>
    <t>406341</t>
  </si>
  <si>
    <t>caprin1b</t>
  </si>
  <si>
    <t>cell cycle associated protein 1b</t>
  </si>
  <si>
    <t>GO:0004197 // GO:0008233 // GO:0008234 // GO:0016787</t>
  </si>
  <si>
    <t>cysteine-type endopeptidase activity // peptidase activity // cysteine-type peptidase activity // hydrolase activity</t>
  </si>
  <si>
    <t>GO:0006508 // GO:0006915 // GO:0042981 // GO:0043065</t>
  </si>
  <si>
    <t>proteolysis // apoptosis // regulation of apoptosis // positive regulation of apoptosis</t>
  </si>
  <si>
    <t>492763</t>
  </si>
  <si>
    <t>casp9</t>
  </si>
  <si>
    <t>caspase 9, apoptosis-related cysteine protease</t>
  </si>
  <si>
    <t>GO:0006535 // GO:0008152 // GO:0019343</t>
  </si>
  <si>
    <t>cysteine biosynthetic process from serine // metabolic process // cysteine biosynthetic process via cystathionine</t>
  </si>
  <si>
    <t>GO:0003824 // GO:0004122 // GO:0030170</t>
  </si>
  <si>
    <t>catalytic activity // cystathionine beta-synthase activity // pyridoxal phosphate binding</t>
  </si>
  <si>
    <t>266987</t>
  </si>
  <si>
    <t>cbsb</t>
  </si>
  <si>
    <t>cystathionine-beta-synthase b</t>
  </si>
  <si>
    <t>565477</t>
  </si>
  <si>
    <t>ccdc125</t>
  </si>
  <si>
    <t>coiled-coil domain containing 125</t>
  </si>
  <si>
    <t>GO:0008168</t>
  </si>
  <si>
    <t>methyltransferase activity</t>
  </si>
  <si>
    <t>GO:0005125 // GO:0008009</t>
  </si>
  <si>
    <t>cytokine activity // chemokine activity</t>
  </si>
  <si>
    <t>GO:0005622 // GO:0016020</t>
  </si>
  <si>
    <t>intracellular // membrane</t>
  </si>
  <si>
    <t>GO:0004872 // GO:0005509</t>
  </si>
  <si>
    <t>receptor activity // calcium ion binding</t>
  </si>
  <si>
    <t>140814</t>
  </si>
  <si>
    <t>cebpb</t>
  </si>
  <si>
    <t>CCAAT/enhancer binding protein (C/EBP), beta</t>
  </si>
  <si>
    <t>GO:0006355 // GO:0009617</t>
  </si>
  <si>
    <t>regulation of transcription, DNA-dependent // response to bacterium</t>
  </si>
  <si>
    <t>140817</t>
  </si>
  <si>
    <t>cebpd</t>
  </si>
  <si>
    <t>CCAAT/enhancer binding protein (C/EBP), delta</t>
  </si>
  <si>
    <t>140816</t>
  </si>
  <si>
    <t>cebpg</t>
  </si>
  <si>
    <t>CCAAT/enhancer binding protein (C/EBP), gamma</t>
  </si>
  <si>
    <t>373884</t>
  </si>
  <si>
    <t>cecr1a</t>
  </si>
  <si>
    <t>cat eye syndrome chromosome region, candidate 1a</t>
  </si>
  <si>
    <t>GO:0006154 // GO:0009168</t>
  </si>
  <si>
    <t>adenosine catabolic process // purine ribonucleoside monophosphate biosynthetic process</t>
  </si>
  <si>
    <t>GO:0005576 // GO:0005615 // GO:0005615</t>
  </si>
  <si>
    <t>extracellular region // extracellular space // extracellular space</t>
  </si>
  <si>
    <t>GO:0004000 // GO:0004000 // GO:0008270 // GO:0016787 // GO:0019239 // GO:0031685 // GO:0043394 // GO:0046872</t>
  </si>
  <si>
    <t>adenosine deaminase activity // adenosine deaminase activity // zinc ion binding // hydrolase activity // deaminase activity // adenosine receptor binding // proteoglycan binding // metal ion binding</t>
  </si>
  <si>
    <t>GO:0006633 // GO:0006694 // GO:0008610 // GO:0016126 // GO:0055114</t>
  </si>
  <si>
    <t>fatty acid biosynthetic process // steroid biosynthetic process // lipid biosynthetic process // sterol biosynthetic process // oxidation-reduction process</t>
  </si>
  <si>
    <t>563855</t>
  </si>
  <si>
    <t>chac1</t>
  </si>
  <si>
    <t>ChaC, cation transport regulator-like 1</t>
  </si>
  <si>
    <t>GO:0006915 // GO:0006986</t>
  </si>
  <si>
    <t>apoptosis // response to unfolded protein</t>
  </si>
  <si>
    <t>558499</t>
  </si>
  <si>
    <t>chka</t>
  </si>
  <si>
    <t>choline kinase alpha</t>
  </si>
  <si>
    <t>GO:0006657 // GO:0016310</t>
  </si>
  <si>
    <t>CDP-choline pathway // phosphorylation</t>
  </si>
  <si>
    <t>GO:0016301 // GO:0016772 // GO:0016773</t>
  </si>
  <si>
    <t>kinase activity // transferase activity, transferring phosphorus-containing groups // phosphotransferase activity, alcohol group as acceptor</t>
  </si>
  <si>
    <t>30328</t>
  </si>
  <si>
    <t>cki</t>
  </si>
  <si>
    <t>type I cytokeratin</t>
  </si>
  <si>
    <t>GO:0005882</t>
  </si>
  <si>
    <t>intermediate filament</t>
  </si>
  <si>
    <t>GO:0005198</t>
  </si>
  <si>
    <t>structural molecule activity</t>
  </si>
  <si>
    <t>81590</t>
  </si>
  <si>
    <t>cldn1</t>
  </si>
  <si>
    <t>claudin 1</t>
  </si>
  <si>
    <t>GO:0005886 // GO:0005923 // GO:0016020 // GO:0016021 // GO:0030054</t>
  </si>
  <si>
    <t>plasma membrane // tight junction // membrane // integral to membrane // cell junction</t>
  </si>
  <si>
    <t>GO:0004129</t>
  </si>
  <si>
    <t>cytochrome-c oxidase activity</t>
  </si>
  <si>
    <t>393776</t>
  </si>
  <si>
    <t>cox4i2</t>
  </si>
  <si>
    <t>cytochrome c oxidase subunit IV isoform 2</t>
  </si>
  <si>
    <t>GO:0004180 // GO:0004181 // GO:0008270 // GO:0046872</t>
  </si>
  <si>
    <t>carboxypeptidase activity // metallocarboxypeptidase activity // zinc ion binding // metal ion binding</t>
  </si>
  <si>
    <t>322412</t>
  </si>
  <si>
    <t>cpb1</t>
  </si>
  <si>
    <t>carboxypeptidase B1 (tissue)</t>
  </si>
  <si>
    <t>GO:0006508 // GO:0042221</t>
  </si>
  <si>
    <t>proteolysis // response to chemical stimulus</t>
  </si>
  <si>
    <t>GO:0009617</t>
  </si>
  <si>
    <t>response to bacterium</t>
  </si>
  <si>
    <t>402986</t>
  </si>
  <si>
    <t>cry-dash</t>
  </si>
  <si>
    <t>cryptochrome DASH</t>
  </si>
  <si>
    <t>GO:0000719 // GO:0006281 // GO:0018298 // GO:0045892</t>
  </si>
  <si>
    <t>photoreactive repair // DNA repair // protein-chromophore linkage // negative regulation of transcription, DNA-dependent</t>
  </si>
  <si>
    <t>GO:0003684 // GO:0003904 // GO:0003913 // GO:0050660</t>
  </si>
  <si>
    <t>damaged DNA binding // deoxyribodipyrimidine photo-lyase activity // DNA photolyase activity // flavin adenine dinucleotide binding</t>
  </si>
  <si>
    <t>GO:0019752</t>
  </si>
  <si>
    <t>carboxylic acid metabolic process</t>
  </si>
  <si>
    <t>GO:0003824 // GO:0016829 // GO:0016831 // GO:0030170</t>
  </si>
  <si>
    <t>catalytic activity // lyase activity // carboxy-lyase activity // pyridoxal phosphate binding</t>
  </si>
  <si>
    <t>GO:0010466</t>
  </si>
  <si>
    <t>negative regulation of peptidase activity</t>
  </si>
  <si>
    <t>GO:0005520</t>
  </si>
  <si>
    <t>insulin-like growth factor binding</t>
  </si>
  <si>
    <t>322055</t>
  </si>
  <si>
    <t>cth</t>
  </si>
  <si>
    <t>cystathionase (cystathionine gamma-lyase)</t>
  </si>
  <si>
    <t>GO:0003824 // GO:0016829 // GO:0030170</t>
  </si>
  <si>
    <t>catalytic activity // lyase activity // pyridoxal phosphate binding</t>
  </si>
  <si>
    <t>GO:0007154</t>
  </si>
  <si>
    <t>cell communication</t>
  </si>
  <si>
    <t>352944</t>
  </si>
  <si>
    <t>cxcl12a</t>
  </si>
  <si>
    <t>chemokine (C-X-C motif) ligand 12a (stromal cell-derived factor 1)</t>
  </si>
  <si>
    <t>GO:0000902 // GO:0001764 // GO:0006955 // GO:0007411 // GO:0007411 // GO:0008285 // GO:0008354 // GO:0009887 // GO:0030239 // GO:0030335 // GO:0030516 // GO:0030900 // GO:0031101 // GO:0031101 // GO:0031290 // GO:0031290 // GO:0042074 // GO:0042074 // GO:0048842 // GO:0048920 // GO:0048920 // GO:0050918 // GO:0050930 // GO:0055002 // GO:0090024</t>
  </si>
  <si>
    <t>cell morphogenesis // neuron migration // immune response // axon guidance // axon guidance // negative regulation of cell proliferation // germ cell migration // organ morphogenesis // myofibril assembly // positive regulation of cell migration // regulation of axon extension // forebrain development // fin regeneration // fin regeneration // retinal ganglion cell axon guidance // retinal ganglion cell axon guidance // cell migration involved in gastrulation // cell migration involved in gastrulation // positive regulation of axon extension involved in axon guidance // posterior lateral line neuromast primordium migration // posterior lateral line neuromast primordium migration // positive chemotaxis // induction of positive chemotaxis // striated muscle cell development // negative regulation of neutrophil chemotaxis</t>
  </si>
  <si>
    <t>GO:0005125 // GO:0008009 // GO:0042056 // GO:0042056</t>
  </si>
  <si>
    <t>cytokine activity // chemokine activity // chemoattractant activity // chemoattractant activity</t>
  </si>
  <si>
    <t>751641</t>
  </si>
  <si>
    <t>cyb5r2</t>
  </si>
  <si>
    <t>cytochrome b5 reductase 2</t>
  </si>
  <si>
    <t>GO:0006694 // GO:0008610 // GO:0016126 // GO:0055114</t>
  </si>
  <si>
    <t>steroid biosynthetic process // lipid biosynthetic process // sterol biosynthetic process // oxidation-reduction process</t>
  </si>
  <si>
    <t>GO:0004128 // GO:0016491</t>
  </si>
  <si>
    <t>cytochrome-b5 reductase activity // oxidoreductase activity</t>
  </si>
  <si>
    <t>GO:0004497 // GO:0005506 // GO:0009055 // GO:0016491 // GO:0016705 // GO:0020037 // GO:0046872</t>
  </si>
  <si>
    <t>monooxygenase activity // iron ion binding // electron carrier activity // oxidoreductase activity // oxidoreductase activity, acting on paired donors, with incorporation or reduction of molecular oxygen // heme binding // metal ion binding</t>
  </si>
  <si>
    <t>140634</t>
  </si>
  <si>
    <t>cyp1a</t>
  </si>
  <si>
    <t>cytochrome P450, family 1, subfamily A</t>
  </si>
  <si>
    <t>GO:0006725 // GO:0009410 // GO:0042221 // GO:0042221 // GO:0042221 // GO:0055114</t>
  </si>
  <si>
    <t>cellular aromatic compound metabolic process // response to xenobiotic stimulus // response to chemical stimulus // response to chemical stimulus // response to chemical stimulus // oxidation-reduction process</t>
  </si>
  <si>
    <t>GO:0004497 // GO:0005506 // GO:0009055 // GO:0016491 // GO:0016705 // GO:0016712 // GO:0020037 // GO:0046872</t>
  </si>
  <si>
    <t>monooxygenase activity // iron ion binding // electron carrier activity // oxidoreductase activity // oxidoreductase activity, acting on paired donors, with incorporation or reduction of molecular oxygen // oxidoreductase activity, acting on paired donors, with incorporation or reduction of molecular oxygen, reduced flavin or flavoprotein as one donor, and incorporation of one atom of oxygen // heme binding // metal ion binding</t>
  </si>
  <si>
    <t>Zv9_scaffold3548</t>
  </si>
  <si>
    <t>324340</t>
  </si>
  <si>
    <t>cyp3c1</t>
  </si>
  <si>
    <t>cytochrome P450, family 3, subfamily c, polypeptide 1</t>
  </si>
  <si>
    <t>GO:0004497 // GO:0005506 // GO:0009055 // GO:0016491 // GO:0016705 // GO:0020037 // GO:0020037 // GO:0046872</t>
  </si>
  <si>
    <t>monooxygenase activity // iron ion binding // electron carrier activity // oxidoreductase activity // oxidoreductase activity, acting on paired donors, with incorporation or reduction of molecular oxygen // heme binding // heme binding // metal ion binding</t>
  </si>
  <si>
    <t>492759</t>
  </si>
  <si>
    <t>cyp3c1l2</t>
  </si>
  <si>
    <t>cytochrome P450, family 3, subfamily c, polypeptide 1 like, 2</t>
  </si>
  <si>
    <t>414331</t>
  </si>
  <si>
    <t>cyp51</t>
  </si>
  <si>
    <t>cytochrome P450, family 51</t>
  </si>
  <si>
    <t>GO:0032259 // GO:0055114</t>
  </si>
  <si>
    <t>methylation // oxidation-reduction process</t>
  </si>
  <si>
    <t>GO:0004497 // GO:0005506 // GO:0008168 // GO:0009055 // GO:0016705 // GO:0020037 // GO:0046872</t>
  </si>
  <si>
    <t>monooxygenase activity // iron ion binding // methyltransferase activity // electron carrier activity // oxidoreductase activity, acting on paired donors, with incorporation or reduction of molecular oxygen // heme binding // metal ion binding</t>
  </si>
  <si>
    <t>GO:0001558</t>
  </si>
  <si>
    <t>regulation of cell growth</t>
  </si>
  <si>
    <t>GO:0007186</t>
  </si>
  <si>
    <t>G-protein coupled receptor protein signaling pathway</t>
  </si>
  <si>
    <t>792062</t>
  </si>
  <si>
    <t>cyt1l</t>
  </si>
  <si>
    <t>type I cytokeratin, enveloping layer, like</t>
  </si>
  <si>
    <t>GO:0000166 // GO:0003884 // GO:0016491 // GO:0016641</t>
  </si>
  <si>
    <t>nucleotide binding // D-amino-acid oxidase activity // oxidoreductase activity // oxidoreductase activity, acting on the CH-NH2 group of donors, oxygen as acceptor</t>
  </si>
  <si>
    <t>405800</t>
  </si>
  <si>
    <t>dao.2</t>
  </si>
  <si>
    <t>D-amino-acid oxidase 2</t>
  </si>
  <si>
    <t>58094</t>
  </si>
  <si>
    <t>dap1b</t>
  </si>
  <si>
    <t>death associated protein 1b</t>
  </si>
  <si>
    <t>324025</t>
  </si>
  <si>
    <t>dars</t>
  </si>
  <si>
    <t>aspartyl-tRNA synthetase</t>
  </si>
  <si>
    <t>GO:0006412 // GO:0006418 // GO:0006422</t>
  </si>
  <si>
    <t>translation // tRNA aminoacylation for protein translation // aspartyl-tRNA aminoacylation</t>
  </si>
  <si>
    <t>GO:0000166 // GO:0003676 // GO:0004812 // GO:0004815 // GO:0005524 // GO:0016874</t>
  </si>
  <si>
    <t>nucleotide binding // nucleic acid binding // aminoacyl-tRNA ligase activity // aspartate-tRNA ligase activity // ATP binding // ligase activity</t>
  </si>
  <si>
    <t>GO:0015937</t>
  </si>
  <si>
    <t>coenzyme A biosynthetic process</t>
  </si>
  <si>
    <t>GO:0016740</t>
  </si>
  <si>
    <t>transferase activity</t>
  </si>
  <si>
    <t>799650</t>
  </si>
  <si>
    <t>ddx21</t>
  </si>
  <si>
    <t>DEAD (Asp-Glu-Ala-Asp) box polypeptide 21</t>
  </si>
  <si>
    <t>GO:0003676 // GO:0003677 // GO:0003723 // GO:0004386 // GO:0005524 // GO:0008026 // GO:0016787</t>
  </si>
  <si>
    <t>nucleic acid binding // DNA binding // RNA binding // helicase activity // ATP binding // ATP-dependent helicase activity // hydrolase activity</t>
  </si>
  <si>
    <t>58125</t>
  </si>
  <si>
    <t>dedd1</t>
  </si>
  <si>
    <t>death effector domain-containing 1</t>
  </si>
  <si>
    <t>494102</t>
  </si>
  <si>
    <t>dhcr24</t>
  </si>
  <si>
    <t>24-dehydrocholesterol reductase</t>
  </si>
  <si>
    <t>378446</t>
  </si>
  <si>
    <t>dhcr7</t>
  </si>
  <si>
    <t>7-dehydrocholesterol reductase</t>
  </si>
  <si>
    <t>GO:0006694 // GO:0006695 // GO:0008610 // GO:0016126 // GO:0055114</t>
  </si>
  <si>
    <t>steroid biosynthetic process // cholesterol biosynthetic process // lipid biosynthetic process // sterol biosynthetic process // oxidation-reduction process</t>
  </si>
  <si>
    <t>GO:0016491 // GO:0016628 // GO:0047598</t>
  </si>
  <si>
    <t>oxidoreductase activity // oxidoreductase activity, acting on the CH-CH group of donors, NAD or NADP as acceptor // 7-dehydrocholesterol reductase activity</t>
  </si>
  <si>
    <t>GO:0000166 // GO:0003924 // GO:0005525</t>
  </si>
  <si>
    <t>nucleotide binding // GTPase activity // GTP binding</t>
  </si>
  <si>
    <t>GO:0005158</t>
  </si>
  <si>
    <t>insulin receptor binding</t>
  </si>
  <si>
    <t>GO:0005654</t>
  </si>
  <si>
    <t>nucleoplasm</t>
  </si>
  <si>
    <t>436600</t>
  </si>
  <si>
    <t>ebp</t>
  </si>
  <si>
    <t>emopamil binding protein (sterol isomerase)</t>
  </si>
  <si>
    <t>GO:0016125</t>
  </si>
  <si>
    <t>sterol metabolic process</t>
  </si>
  <si>
    <t>GO:0047750</t>
  </si>
  <si>
    <t>cholestenol delta-isomerase activity</t>
  </si>
  <si>
    <t>492482</t>
  </si>
  <si>
    <t>eif4ebp3</t>
  </si>
  <si>
    <t>eukaryotic translation initiation factor 4E binding protein 3</t>
  </si>
  <si>
    <t>GO:0045947</t>
  </si>
  <si>
    <t>negative regulation of translational initiation</t>
  </si>
  <si>
    <t>GO:0008190</t>
  </si>
  <si>
    <t>eukaryotic initiation factor 4E binding</t>
  </si>
  <si>
    <t>678614</t>
  </si>
  <si>
    <t>elovl2</t>
  </si>
  <si>
    <t>elongation of very long chain fatty acids (FEN1/Elo2, SUR4/Elo3, yeast)-like 2</t>
  </si>
  <si>
    <t>GO:0042761</t>
  </si>
  <si>
    <t>very long-chain fatty acid biosynthetic process</t>
  </si>
  <si>
    <t>GO:0006355 // GO:0007165</t>
  </si>
  <si>
    <t>regulation of transcription, DNA-dependent // signal transduction</t>
  </si>
  <si>
    <t>GO:0006351 // GO:0006355 // GO:0043401</t>
  </si>
  <si>
    <t>transcription, DNA-dependent // regulation of transcription, DNA-dependent // steroid hormone mediated signaling pathway</t>
  </si>
  <si>
    <t>30452</t>
  </si>
  <si>
    <t>etv5b</t>
  </si>
  <si>
    <t>ets variant 5b</t>
  </si>
  <si>
    <t>GO:0003677 // GO:0003700 // GO:0043565 // GO:0043565</t>
  </si>
  <si>
    <t>DNA binding // sequence-specific DNA binding transcription factor activity // sequence-specific DNA binding // sequence-specific DNA binding</t>
  </si>
  <si>
    <t>558857</t>
  </si>
  <si>
    <t>exosc1</t>
  </si>
  <si>
    <t>exosome component 1</t>
  </si>
  <si>
    <t>GO:0005730</t>
  </si>
  <si>
    <t>nucleolus</t>
  </si>
  <si>
    <t>664754</t>
  </si>
  <si>
    <t>ezh1</t>
  </si>
  <si>
    <t>enhancer of zeste homolog 1 (Drosophila)</t>
  </si>
  <si>
    <t>GO:0018024</t>
  </si>
  <si>
    <t>histone-lysine N-methyltransferase activity</t>
  </si>
  <si>
    <t>GO:0005215 // GO:0005488 // GO:0005504 // GO:0008289</t>
  </si>
  <si>
    <t>transporter activity // binding // fatty acid binding // lipid binding</t>
  </si>
  <si>
    <t>58128</t>
  </si>
  <si>
    <t>fabp7a</t>
  </si>
  <si>
    <t>fatty acid binding protein 7, brain, a</t>
  </si>
  <si>
    <t>140615</t>
  </si>
  <si>
    <t>fads2</t>
  </si>
  <si>
    <t>fatty acid desaturase 2</t>
  </si>
  <si>
    <t>GO:0006629 // GO:0006633 // GO:0006810 // GO:0008610 // GO:0022900 // GO:0055114</t>
  </si>
  <si>
    <t>lipid metabolic process // fatty acid biosynthetic process // transport // lipid biosynthetic process // electron transport chain // oxidation-reduction process</t>
  </si>
  <si>
    <t>GO:0005506 // GO:0016491 // GO:0016717 // GO:0020037</t>
  </si>
  <si>
    <t>563991</t>
  </si>
  <si>
    <t>fam60a</t>
  </si>
  <si>
    <t>family with sequence similarity 60, member A</t>
  </si>
  <si>
    <t>GO:0000166 // GO:0016620</t>
  </si>
  <si>
    <t>nucleotide binding // oxidoreductase activity, acting on the aldehyde or oxo group of donors, NAD or NADP as acceptor</t>
  </si>
  <si>
    <t>GO:0003735</t>
  </si>
  <si>
    <t>structural constituent of ribosome</t>
  </si>
  <si>
    <t>552997</t>
  </si>
  <si>
    <t>fdps</t>
  </si>
  <si>
    <t>farnesyl diphosphate synthase (farnesyl pyrophosphate synthetase, dimethylallyltranstransferase, geranyltranstransferase)</t>
  </si>
  <si>
    <t>GO:0008299</t>
  </si>
  <si>
    <t>isoprenoid biosynthetic process</t>
  </si>
  <si>
    <t>378986</t>
  </si>
  <si>
    <t>fga</t>
  </si>
  <si>
    <t>fibrinogen alpha chain</t>
  </si>
  <si>
    <t>GO:0007165 // GO:0030168 // GO:0051258</t>
  </si>
  <si>
    <t>signal transduction // platelet activation // protein polymerization</t>
  </si>
  <si>
    <t>GO:0005577 // GO:0005615</t>
  </si>
  <si>
    <t>fibrinogen complex // extracellular space</t>
  </si>
  <si>
    <t>GO:0005102 // GO:0030674</t>
  </si>
  <si>
    <t>receptor binding // protein binding, bridging</t>
  </si>
  <si>
    <t>559630</t>
  </si>
  <si>
    <t>fgf20a</t>
  </si>
  <si>
    <t>fibroblast growth factor 20a</t>
  </si>
  <si>
    <t>GO:0031101 // GO:0060249</t>
  </si>
  <si>
    <t>fin regeneration // anatomical structure homeostasis</t>
  </si>
  <si>
    <t>334613</t>
  </si>
  <si>
    <t>fn1b</t>
  </si>
  <si>
    <t>fibronectin 1b</t>
  </si>
  <si>
    <t>GO:0001756 // GO:0001756</t>
  </si>
  <si>
    <t>somitogenesis // somitogenesis</t>
  </si>
  <si>
    <t>394198</t>
  </si>
  <si>
    <t>fos</t>
  </si>
  <si>
    <t>v-fos FBJ murine osteosarcoma viral oncogene homolog</t>
  </si>
  <si>
    <t>GO:0003677 // GO:0003690 // GO:0003700 // GO:0043565 // GO:0046983</t>
  </si>
  <si>
    <t>DNA binding // double-stranded DNA binding // sequence-specific DNA binding transcription factor activity // sequence-specific DNA binding // protein dimerization activity</t>
  </si>
  <si>
    <t>564241</t>
  </si>
  <si>
    <t>fosl1</t>
  </si>
  <si>
    <t>FOS-like antigen 1</t>
  </si>
  <si>
    <t>558921</t>
  </si>
  <si>
    <t>fosl2</t>
  </si>
  <si>
    <t>fos-like antigen 2</t>
  </si>
  <si>
    <t>405843</t>
  </si>
  <si>
    <t>foxq1b</t>
  </si>
  <si>
    <t>forkhead box Q1b</t>
  </si>
  <si>
    <t>GO:0005783 // GO:0005788</t>
  </si>
  <si>
    <t>endoplasmic reticulum // endoplasmic reticulum lumen</t>
  </si>
  <si>
    <t>406746</t>
  </si>
  <si>
    <t>fpgs</t>
  </si>
  <si>
    <t>folylpolyglutamate synthase</t>
  </si>
  <si>
    <t>GO:0009058 // GO:0009396</t>
  </si>
  <si>
    <t>biosynthetic process // folic acid-containing compound biosynthetic process</t>
  </si>
  <si>
    <t>GO:0004326 // GO:0005524 // GO:0016874</t>
  </si>
  <si>
    <t>tetrahydrofolylpolyglutamate synthase activity // ATP binding // ligase activity</t>
  </si>
  <si>
    <t>100216326</t>
  </si>
  <si>
    <t>frem1a</t>
  </si>
  <si>
    <t>Fras1 related extracellular matrix 1a</t>
  </si>
  <si>
    <t>GO:0007154 // GO:0007156 // GO:0033333 // GO:0033334</t>
  </si>
  <si>
    <t>cell communication // homophilic cell adhesion // fin development // fin morphogenesis</t>
  </si>
  <si>
    <t>GO:0005488 // GO:0005509</t>
  </si>
  <si>
    <t>binding // calcium ion binding</t>
  </si>
  <si>
    <t>100004116</t>
  </si>
  <si>
    <t>fsta</t>
  </si>
  <si>
    <t>follistatin a</t>
  </si>
  <si>
    <t>GO:0007275 // GO:0009953 // GO:0009953 // GO:0009994 // GO:0030901 // GO:0043049 // GO:0048263</t>
  </si>
  <si>
    <t>multicellular organismal development // dorsal/ventral pattern formation // dorsal/ventral pattern formation // oocyte differentiation // midbrain development // otic placode formation // determination of dorsal identity</t>
  </si>
  <si>
    <t>GO:0006826 // GO:0006879 // GO:0055114</t>
  </si>
  <si>
    <t>iron ion transport // cellular iron ion homeostasis // oxidation-reduction process</t>
  </si>
  <si>
    <t>GO:0005488 // GO:0008199 // GO:0016491 // GO:0046872 // GO:0046914</t>
  </si>
  <si>
    <t>binding // ferric iron binding // oxidoreductase activity // metal ion binding // transition metal ion binding</t>
  </si>
  <si>
    <t>447823</t>
  </si>
  <si>
    <t>fth1b</t>
  </si>
  <si>
    <t>ferritin, heavy polypeptide 1b</t>
  </si>
  <si>
    <t>335494</t>
  </si>
  <si>
    <t>fuca1</t>
  </si>
  <si>
    <t>fucosidase, alpha-L- 1, tissue</t>
  </si>
  <si>
    <t>GO:0005975 // GO:0006004</t>
  </si>
  <si>
    <t>carbohydrate metabolic process // fucose metabolic process</t>
  </si>
  <si>
    <t>GO:0003824 // GO:0004560 // GO:0043169</t>
  </si>
  <si>
    <t>catalytic activity // alpha-L-fucosidase activity // cation binding</t>
  </si>
  <si>
    <t>497646</t>
  </si>
  <si>
    <t>gadd45bb</t>
  </si>
  <si>
    <t>growth arrest and DNA-damage-inducible, beta b</t>
  </si>
  <si>
    <t>393735</t>
  </si>
  <si>
    <t>gchfr</t>
  </si>
  <si>
    <t>GTP cyclohydrolase I feedback regulator</t>
  </si>
  <si>
    <t>GO:0009890</t>
  </si>
  <si>
    <t>negative regulation of biosynthetic process</t>
  </si>
  <si>
    <t>GO:0005634 // GO:0005737 // GO:0005829 // GO:0016020 // GO:0031965</t>
  </si>
  <si>
    <t>nucleus // cytoplasm // cytosol // membrane // nuclear membrane</t>
  </si>
  <si>
    <t>GO:0007165 // GO:0007166 // GO:0007186</t>
  </si>
  <si>
    <t>signal transduction // cell surface receptor linked signaling pathway // G-protein coupled receptor protein signaling pathway</t>
  </si>
  <si>
    <t>352930</t>
  </si>
  <si>
    <t>gli1</t>
  </si>
  <si>
    <t>GLI-Kruppel family member 1</t>
  </si>
  <si>
    <t>GO:0007420 // GO:0021508 // GO:0021508 // GO:0021521 // GO:0021983 // GO:0021984 // GO:0030182 // GO:0031290 // GO:0045880 // GO:0048699 // GO:0048699 // GO:0048855 // GO:0050767 // GO:0050767</t>
  </si>
  <si>
    <t>brain development // floor plate formation // floor plate formation // ventral spinal cord interneuron specification // pituitary gland development // adenohypophysis development // neuron differentiation // retinal ganglion cell axon guidance // positive regulation of smoothened signaling pathway // generation of neurons // generation of neurons // adenohypophysis morphogenesis // regulation of neurogenesis // regulation of neurogenesis</t>
  </si>
  <si>
    <t>GO:0005622 // GO:0035301</t>
  </si>
  <si>
    <t>intracellular // Hedgehog signaling complex</t>
  </si>
  <si>
    <t>GO:0003676 // GO:0005515 // GO:0008270</t>
  </si>
  <si>
    <t>nucleic acid binding // protein binding // zinc ion binding</t>
  </si>
  <si>
    <t>449805</t>
  </si>
  <si>
    <t>glipr2l</t>
  </si>
  <si>
    <t>GLI pathogenesis-related 2, like</t>
  </si>
  <si>
    <t>GO:0006184</t>
  </si>
  <si>
    <t>GTP catabolic process</t>
  </si>
  <si>
    <t>403338</t>
  </si>
  <si>
    <t>gnmt</t>
  </si>
  <si>
    <t>glycine N-methyltransferase</t>
  </si>
  <si>
    <t>GO:0006555 // GO:0032259</t>
  </si>
  <si>
    <t>methionine metabolic process // methylation</t>
  </si>
  <si>
    <t>GO:0005542 // GO:0008168 // GO:0016740 // GO:0017174</t>
  </si>
  <si>
    <t>folic acid binding // methyltransferase activity // transferase activity // glycine N-methyltransferase activity</t>
  </si>
  <si>
    <t>406711</t>
  </si>
  <si>
    <t>grtp1a</t>
  </si>
  <si>
    <t>growth hormone regulated TBC protein 1a</t>
  </si>
  <si>
    <t>GO:0032313</t>
  </si>
  <si>
    <t>regulation of Rab GTPase activity</t>
  </si>
  <si>
    <t>GO:0005096 // GO:0005097</t>
  </si>
  <si>
    <t>GTPase activator activity // Rab GTPase activator activity</t>
  </si>
  <si>
    <t>378721</t>
  </si>
  <si>
    <t>gtpbp1</t>
  </si>
  <si>
    <t>GTP binding protein 1</t>
  </si>
  <si>
    <t>334050</t>
  </si>
  <si>
    <t>gtpbp4</t>
  </si>
  <si>
    <t>GTP binding protein 4</t>
  </si>
  <si>
    <t>336977</t>
  </si>
  <si>
    <t>hagh</t>
  </si>
  <si>
    <t>hydroxyacylglutathione hydrolase</t>
  </si>
  <si>
    <t>GO:0005737 // GO:0005739 // GO:0005759</t>
  </si>
  <si>
    <t>cytoplasm // mitochondrion // mitochondrial matrix</t>
  </si>
  <si>
    <t>GO:0004416 // GO:0008270 // GO:0016787 // GO:0046872</t>
  </si>
  <si>
    <t>hydroxyacylglutathione hydrolase activity // zinc ion binding // hydrolase activity // metal ion binding</t>
  </si>
  <si>
    <t>594858</t>
  </si>
  <si>
    <t>hamp2</t>
  </si>
  <si>
    <t>hepcidin antimicrobial peptide 2</t>
  </si>
  <si>
    <t>GO:0006879 // GO:0042742</t>
  </si>
  <si>
    <t>cellular iron ion homeostasis // defense response to bacterium</t>
  </si>
  <si>
    <t>30300</t>
  </si>
  <si>
    <t>her2</t>
  </si>
  <si>
    <t>hairy-related 2</t>
  </si>
  <si>
    <t>565499</t>
  </si>
  <si>
    <t>herpud1</t>
  </si>
  <si>
    <t>homocysteine-inducible, endoplasmic reticulum stress-inducible, ubiquitin-like domain member 1</t>
  </si>
  <si>
    <t>259189</t>
  </si>
  <si>
    <t>hgd</t>
  </si>
  <si>
    <t>homogentisate 1,2-dioxygenase</t>
  </si>
  <si>
    <t>GO:0006559 // GO:0006570 // GO:0055114</t>
  </si>
  <si>
    <t>L-phenylalanine catabolic process // tyrosine metabolic process // oxidation-reduction process</t>
  </si>
  <si>
    <t>GO:0004411 // GO:0016491 // GO:0016702</t>
  </si>
  <si>
    <t>homogentisate 1,2-dioxygenase activity // oxidoreductase activity // oxidoreductase activity, acting on single donors with incorporation of molecular oxygen, incorporation of two atoms of oxygen</t>
  </si>
  <si>
    <t>406848</t>
  </si>
  <si>
    <t>hiat1b</t>
  </si>
  <si>
    <t>hippocampus abundant transcript 1b</t>
  </si>
  <si>
    <t>GO:0006355 // GO:0045893</t>
  </si>
  <si>
    <t>regulation of transcription, DNA-dependent // positive regulation of transcription, DNA-dependent</t>
  </si>
  <si>
    <t>559054</t>
  </si>
  <si>
    <t>hmgcra</t>
  </si>
  <si>
    <t>3-hydroxy-3-methylglutaryl-Coenzyme A reductase a</t>
  </si>
  <si>
    <t>GO:0007517 // GO:0008299 // GO:0015936 // GO:0055114</t>
  </si>
  <si>
    <t>muscle organ development // isoprenoid biosynthetic process // coenzyme A metabolic process // oxidation-reduction process</t>
  </si>
  <si>
    <t>GO:0005789 // GO:0016021</t>
  </si>
  <si>
    <t>endoplasmic reticulum membrane // integral to membrane</t>
  </si>
  <si>
    <t>GO:0004420 // GO:0016491 // GO:0016616 // GO:0050661 // GO:0050662</t>
  </si>
  <si>
    <t>hydroxymethylglutaryl-CoA reductase (NADPH) activity // oxidoreductase activity // oxidoreductase activity, acting on the CH-OH group of donors, NAD or NADP as acceptor // NADP binding // coenzyme binding</t>
  </si>
  <si>
    <t>394060</t>
  </si>
  <si>
    <t>hmgcs1</t>
  </si>
  <si>
    <t>3-hydroxy-3-methylglutaryl-Coenzyme A synthase 1 (soluble)</t>
  </si>
  <si>
    <t>GO:0008152 // GO:0008299</t>
  </si>
  <si>
    <t>metabolic process // isoprenoid biosynthetic process</t>
  </si>
  <si>
    <t>GO:0003824 // GO:0004421</t>
  </si>
  <si>
    <t>catalytic activity // hydroxymethylglutaryl-CoA synthase activity</t>
  </si>
  <si>
    <t>GO:0003677 // GO:0003700 // GO:0003707 // GO:0004872 // GO:0004879 // GO:0008270 // GO:0043565 // GO:0046872</t>
  </si>
  <si>
    <t>DNA binding // sequence-specific DNA binding transcription factor activity // steroid hormone receptor activity // receptor activity // ligand-dependent nuclear receptor activity // zinc ion binding // sequence-specific DNA binding // metal ion binding</t>
  </si>
  <si>
    <t>58055</t>
  </si>
  <si>
    <t>hoxa5a</t>
  </si>
  <si>
    <t>homeo box A5a</t>
  </si>
  <si>
    <t>768185</t>
  </si>
  <si>
    <t>hsd17b7</t>
  </si>
  <si>
    <t>hydroxysteroid (17-beta) dehydrogenase 7</t>
  </si>
  <si>
    <t>GO:0000166 // GO:0003854 // GO:0016491 // GO:0016616 // GO:0016853</t>
  </si>
  <si>
    <t>nucleotide binding // 3-beta-hydroxy-delta5-steroid dehydrogenase activity // oxidoreductase activity // oxidoreductase activity, acting on the CH-OH group of donors, NAD or NADP as acceptor // isomerase activity</t>
  </si>
  <si>
    <t>327462</t>
  </si>
  <si>
    <t>hsd3b7</t>
  </si>
  <si>
    <t>hydroxy-delta-5-steroid dehydrogenase, 3 beta- and steroid delta-isomerase</t>
  </si>
  <si>
    <t>GO:0006694 // GO:0055114</t>
  </si>
  <si>
    <t>steroid biosynthetic process // oxidation-reduction process</t>
  </si>
  <si>
    <t>30449</t>
  </si>
  <si>
    <t>hsp47</t>
  </si>
  <si>
    <t>heat shock protein 47</t>
  </si>
  <si>
    <t>GO:0006950 // GO:0010951 // GO:0030162</t>
  </si>
  <si>
    <t>response to stress // negative regulation of endopeptidase activity // regulation of proteolysis</t>
  </si>
  <si>
    <t>100137108</t>
  </si>
  <si>
    <t>hspb9</t>
  </si>
  <si>
    <t>heat shock protein, alpha-crystallin-related, 9</t>
  </si>
  <si>
    <t>GO:0016747</t>
  </si>
  <si>
    <t>transferase activity, transferring acyl groups other than amino-acyl groups</t>
  </si>
  <si>
    <t>334393</t>
  </si>
  <si>
    <t>iars</t>
  </si>
  <si>
    <t>isoleucyl-tRNA synthetase</t>
  </si>
  <si>
    <t>GO:0006412 // GO:0006418 // GO:0006428</t>
  </si>
  <si>
    <t>translation // tRNA aminoacylation for protein translation // isoleucyl-tRNA aminoacylation</t>
  </si>
  <si>
    <t>GO:0000166 // GO:0004812 // GO:0004822 // GO:0005524 // GO:0016874</t>
  </si>
  <si>
    <t>nucleotide binding // aminoacyl-tRNA ligase activity // isoleucine-tRNA ligase activity // ATP binding // ligase activity</t>
  </si>
  <si>
    <t>553513</t>
  </si>
  <si>
    <t>idi1</t>
  </si>
  <si>
    <t>isopentenyl-diphosphate delta isomerase 1</t>
  </si>
  <si>
    <t>GO:0004452 // GO:0016787</t>
  </si>
  <si>
    <t>isopentenyl-diphosphate delta-isomerase activity // hydrolase activity</t>
  </si>
  <si>
    <t>317638</t>
  </si>
  <si>
    <t>igfbp1a</t>
  </si>
  <si>
    <t>insulin-like growth factor binding protein 1a</t>
  </si>
  <si>
    <t>GO:0001558 // GO:0001666 // GO:0008285</t>
  </si>
  <si>
    <t>regulation of cell growth // response to hypoxia // negative regulation of cell proliferation</t>
  </si>
  <si>
    <t>GO:0005520 // GO:0031994 // GO:0031995</t>
  </si>
  <si>
    <t>insulin-like growth factor binding // insulin-like growth factor I binding // insulin-like growth factor II binding</t>
  </si>
  <si>
    <t>405770</t>
  </si>
  <si>
    <t>il1b</t>
  </si>
  <si>
    <t>interleukin 1, beta</t>
  </si>
  <si>
    <t>GO:0006954 // GO:0006955 // GO:0006955 // GO:0009617 // GO:0032496 // GO:0042742 // GO:0046685</t>
  </si>
  <si>
    <t>inflammatory response // immune response // immune response // response to bacterium // response to lipopolysaccharide // defense response to bacterium // response to arsenic-containing substance</t>
  </si>
  <si>
    <t>GO:0005125 // GO:0005149</t>
  </si>
  <si>
    <t>cytokine activity // interleukin-1 receptor binding</t>
  </si>
  <si>
    <t>100006778</t>
  </si>
  <si>
    <t>il6st</t>
  </si>
  <si>
    <t>interleukin 6 signal transducer</t>
  </si>
  <si>
    <t>GO:0048861 // GO:0070120</t>
  </si>
  <si>
    <t>leukemia inhibitory factor signaling pathway // ciliary neurotrophic factor-mediated signaling pathway</t>
  </si>
  <si>
    <t>393911</t>
  </si>
  <si>
    <t>ing3</t>
  </si>
  <si>
    <t>inhibitor of growth family, member 3</t>
  </si>
  <si>
    <t>792168</t>
  </si>
  <si>
    <t>ing5</t>
  </si>
  <si>
    <t>inhibitor of growth family, member 5a</t>
  </si>
  <si>
    <t>386591</t>
  </si>
  <si>
    <t>ing5a</t>
  </si>
  <si>
    <t>30072</t>
  </si>
  <si>
    <t>inhbaa</t>
  </si>
  <si>
    <t>inhibin, beta Aa</t>
  </si>
  <si>
    <t>GO:0031101 // GO:0040007</t>
  </si>
  <si>
    <t>fin regeneration // growth</t>
  </si>
  <si>
    <t>GO:0005179 // GO:0008083</t>
  </si>
  <si>
    <t>hormone activity // growth factor activity</t>
  </si>
  <si>
    <t>30275</t>
  </si>
  <si>
    <t>inhbb</t>
  </si>
  <si>
    <t>inhibin, beta B</t>
  </si>
  <si>
    <t>334189</t>
  </si>
  <si>
    <t>insig1</t>
  </si>
  <si>
    <t>insulin induced gene 1</t>
  </si>
  <si>
    <t>GO:0006629 // GO:0008202 // GO:0008203</t>
  </si>
  <si>
    <t>lipid metabolic process // steroid metabolic process // cholesterol metabolic process</t>
  </si>
  <si>
    <t>555520</t>
  </si>
  <si>
    <t>ipo8</t>
  </si>
  <si>
    <t>importin 8</t>
  </si>
  <si>
    <t>GO:0000975 // GO:0003700</t>
  </si>
  <si>
    <t>regulatory region DNA binding // sequence-specific DNA binding transcription factor activity</t>
  </si>
  <si>
    <t>792160</t>
  </si>
  <si>
    <t>irf11</t>
  </si>
  <si>
    <t>interferon regulatory factor 11</t>
  </si>
  <si>
    <t>393650</t>
  </si>
  <si>
    <t>irf7</t>
  </si>
  <si>
    <t>interferon regulatory factor 7</t>
  </si>
  <si>
    <t>558956</t>
  </si>
  <si>
    <t>isg15</t>
  </si>
  <si>
    <t>ISG15 ubiquitin-like modifier</t>
  </si>
  <si>
    <t>GO:0005634 // GO:0005654 // GO:0005730</t>
  </si>
  <si>
    <t>nucleus // nucleoplasm // nucleolus</t>
  </si>
  <si>
    <t>335916</t>
  </si>
  <si>
    <t>jun</t>
  </si>
  <si>
    <t>jun proto-oncogene</t>
  </si>
  <si>
    <t>GO:0006355 // GO:0032321 // GO:0046686 // GO:0051597 // GO:0060070</t>
  </si>
  <si>
    <t>regulation of transcription, DNA-dependent // positive regulation of Rho GTPase activity // response to cadmium ion // response to methylmercury // canonical Wnt receptor signaling pathway</t>
  </si>
  <si>
    <t>GO:0003677 // GO:0003700 // GO:0003700 // GO:0008013 // GO:0043565 // GO:0046983</t>
  </si>
  <si>
    <t>DNA binding // sequence-specific DNA binding transcription factor activity // sequence-specific DNA binding transcription factor activity // beta-catenin binding // sequence-specific DNA binding // protein dimerization activity</t>
  </si>
  <si>
    <t>407086</t>
  </si>
  <si>
    <t>junb</t>
  </si>
  <si>
    <t>jun B proto-oncogene</t>
  </si>
  <si>
    <t>GO:0006355 // GO:0060047 // GO:0060047</t>
  </si>
  <si>
    <t>regulation of transcription, DNA-dependent // heart contraction // heart contraction</t>
  </si>
  <si>
    <t>336038</t>
  </si>
  <si>
    <t>junbl</t>
  </si>
  <si>
    <t>jun B proto-oncogene, like</t>
  </si>
  <si>
    <t>GO:0030414</t>
  </si>
  <si>
    <t>peptidase inhibitor activity</t>
  </si>
  <si>
    <t>30652</t>
  </si>
  <si>
    <t>kal1b</t>
  </si>
  <si>
    <t>Kallmann syndrome 1b sequence</t>
  </si>
  <si>
    <t>GO:0005249</t>
  </si>
  <si>
    <t>voltage-gated potassium channel activity</t>
  </si>
  <si>
    <t>GO:0006813</t>
  </si>
  <si>
    <t>potassium ion transport</t>
  </si>
  <si>
    <t>GO:0008076 // GO:0016020</t>
  </si>
  <si>
    <t>voltage-gated potassium channel complex // membrane</t>
  </si>
  <si>
    <t>393905</t>
  </si>
  <si>
    <t>kdelc1</t>
  </si>
  <si>
    <t>KDEL (Lys-Asp-Glu-Leu) containing 1</t>
  </si>
  <si>
    <t>GO:0005783 // GO:0016020 // GO:0016021</t>
  </si>
  <si>
    <t>endoplasmic reticulum // membrane // integral to membrane</t>
  </si>
  <si>
    <t>352912</t>
  </si>
  <si>
    <t>krt18</t>
  </si>
  <si>
    <t>keratin 18</t>
  </si>
  <si>
    <t>797433</t>
  </si>
  <si>
    <t>krt8</t>
  </si>
  <si>
    <t>keratin 8</t>
  </si>
  <si>
    <t>GO:0005634 // GO:0005654 // GO:0005737 // GO:0005737 // GO:0005882 // GO:0016363 // GO:0045095</t>
  </si>
  <si>
    <t>nucleus // nucleoplasm // cytoplasm // cytoplasm // intermediate filament // nuclear matrix // keratin filament</t>
  </si>
  <si>
    <t>GO:0006629 // GO:0006810</t>
  </si>
  <si>
    <t>lipid metabolic process // transport</t>
  </si>
  <si>
    <t>387529</t>
  </si>
  <si>
    <t>ldlr</t>
  </si>
  <si>
    <t>low density lipoprotein receptor</t>
  </si>
  <si>
    <t>567278</t>
  </si>
  <si>
    <t>lect2l</t>
  </si>
  <si>
    <t>leukocyte cell-derived chemotaxin 2 like</t>
  </si>
  <si>
    <t>GO:0005179 // GO:0005179</t>
  </si>
  <si>
    <t>hormone activity // hormone activity</t>
  </si>
  <si>
    <t>393096</t>
  </si>
  <si>
    <t>lipg</t>
  </si>
  <si>
    <t>lipase, endothelial</t>
  </si>
  <si>
    <t>GO:0003824 // GO:0004465 // GO:0016787</t>
  </si>
  <si>
    <t>catalytic activity // lipoprotein lipase activity // hydrolase activity</t>
  </si>
  <si>
    <t>100151110</t>
  </si>
  <si>
    <t>LOC100151110</t>
  </si>
  <si>
    <t>5-oxoprolinase</t>
  </si>
  <si>
    <t>559803</t>
  </si>
  <si>
    <t>LOC559803</t>
  </si>
  <si>
    <t>novel protein similar to SWI/SNF related, matrix associated, actin dependent regulator of chromatin, subfamily a, member 5 (smarca5)</t>
  </si>
  <si>
    <t>563601</t>
  </si>
  <si>
    <t>LOC563601</t>
  </si>
  <si>
    <t>similar to transmembrane 4 superfamily member 1</t>
  </si>
  <si>
    <t>568697</t>
  </si>
  <si>
    <t>LOC568697</t>
  </si>
  <si>
    <t>hypothetical LOC568697</t>
  </si>
  <si>
    <t>796384</t>
  </si>
  <si>
    <t>LOC796384</t>
  </si>
  <si>
    <t>novel protein similar to vertebrate 3-hydroxy-3-methylglutaryl-Coenzyme A reductase (HMGCR)</t>
  </si>
  <si>
    <t>797250</t>
  </si>
  <si>
    <t>LOC797250</t>
  </si>
  <si>
    <t>novel protein similar to H.sapiens solute carrier family 7 (cationic amino acid transporter, y+ system), member 5</t>
  </si>
  <si>
    <t>799527</t>
  </si>
  <si>
    <t>LOC799527</t>
  </si>
  <si>
    <t>similar to chemokine (C-X-C motif) receptor 3.1</t>
  </si>
  <si>
    <t>30354</t>
  </si>
  <si>
    <t>lpl</t>
  </si>
  <si>
    <t>lipoprotein lipase</t>
  </si>
  <si>
    <t>795400</t>
  </si>
  <si>
    <t>lss</t>
  </si>
  <si>
    <t>lanosterol synthase (2,3-oxidosqualene-lanosterol cyclase)</t>
  </si>
  <si>
    <t>GO:0003824 // GO:0016866</t>
  </si>
  <si>
    <t>catalytic activity // intramolecular transferase activity</t>
  </si>
  <si>
    <t>494053</t>
  </si>
  <si>
    <t>lxn</t>
  </si>
  <si>
    <t>latexin</t>
  </si>
  <si>
    <t>GO:0005737 // GO:0016020</t>
  </si>
  <si>
    <t>cytoplasm // membrane</t>
  </si>
  <si>
    <t>393307</t>
  </si>
  <si>
    <t>maff</t>
  </si>
  <si>
    <t>v-maf musculoaponeurotic fibrosarcoma oncogene homolog f (avian)</t>
  </si>
  <si>
    <t>GO:0003677 // GO:0003677 // GO:0003677 // GO:0003700 // GO:0003700 // GO:0043565 // GO:0046982</t>
  </si>
  <si>
    <t>DNA binding // DNA binding // DNA binding // sequence-specific DNA binding transcription factor activity // sequence-specific DNA binding transcription factor activity // sequence-specific DNA binding // protein heterodimerization activity</t>
  </si>
  <si>
    <t>GO:0006351 // GO:0006355 // GO:0045893</t>
  </si>
  <si>
    <t>transcription, DNA-dependent // regulation of transcription, DNA-dependent // positive regulation of transcription, DNA-dependent</t>
  </si>
  <si>
    <t>334195</t>
  </si>
  <si>
    <t>mat1a</t>
  </si>
  <si>
    <t>methionine adenosyltransferase I, alpha</t>
  </si>
  <si>
    <t>GO:0006556 // GO:0006730</t>
  </si>
  <si>
    <t>S-adenosylmethionine biosynthetic process // one-carbon metabolic process</t>
  </si>
  <si>
    <t>GO:0000166 // GO:0004478 // GO:0005524 // GO:0016740 // GO:0046872</t>
  </si>
  <si>
    <t>nucleotide binding // methionine adenosyltransferase activity // ATP binding // transferase activity // metal ion binding</t>
  </si>
  <si>
    <t>58122</t>
  </si>
  <si>
    <t>mcl1a</t>
  </si>
  <si>
    <t>myeloid cell leukemia sequence 1a</t>
  </si>
  <si>
    <t>GO:0001894 // GO:0042981 // GO:0043009 // GO:0043066 // GO:0043154</t>
  </si>
  <si>
    <t>tissue homeostasis // regulation of apoptosis // chordate embryonic development // negative regulation of apoptosis // negative regulation of caspase activity</t>
  </si>
  <si>
    <t>GO:0003700</t>
  </si>
  <si>
    <t>sequence-specific DNA binding transcription factor activity</t>
  </si>
  <si>
    <t>378479</t>
  </si>
  <si>
    <t>mhc1ze</t>
  </si>
  <si>
    <t>major histocompatibility complex class I ZE gene</t>
  </si>
  <si>
    <t>GO:0006955 // GO:0019882</t>
  </si>
  <si>
    <t>immune response // antigen processing and presentation</t>
  </si>
  <si>
    <t>GO:0016020 // GO:0016021 // GO:0042612</t>
  </si>
  <si>
    <t>membrane // integral to membrane // MHC class I protein complex</t>
  </si>
  <si>
    <t>GO:0005634 // GO:0005737 // GO:0005856 // GO:0005874</t>
  </si>
  <si>
    <t>nucleus // cytoplasm // cytoskeleton // microtubule</t>
  </si>
  <si>
    <t>393805</t>
  </si>
  <si>
    <t>mid1ip1b</t>
  </si>
  <si>
    <t>MID1 interacting protein 1b</t>
  </si>
  <si>
    <t>GO:0001071 // GO:0046983</t>
  </si>
  <si>
    <t>nucleic acid binding transcription factor activity // protein dimerization activity</t>
  </si>
  <si>
    <t>555974</t>
  </si>
  <si>
    <t>mknk1</t>
  </si>
  <si>
    <t>MAP kinase interacting serine/threonine kinase 1</t>
  </si>
  <si>
    <t>373121</t>
  </si>
  <si>
    <t>mknk2b</t>
  </si>
  <si>
    <t>MAP kinase-interacting serine/threonine kinase 2b</t>
  </si>
  <si>
    <t>387293</t>
  </si>
  <si>
    <t>mmp13a</t>
  </si>
  <si>
    <t>matrix metalloproteinase 13a</t>
  </si>
  <si>
    <t>GO:0006508 // GO:0008152 // GO:0009790 // GO:0048246</t>
  </si>
  <si>
    <t>proteolysis // metabolic process // embryo development // macrophage chemotaxis</t>
  </si>
  <si>
    <t>GO:0031012</t>
  </si>
  <si>
    <t>extracellular matrix</t>
  </si>
  <si>
    <t>406397</t>
  </si>
  <si>
    <t>mmp9</t>
  </si>
  <si>
    <t>matrix metalloproteinase 9</t>
  </si>
  <si>
    <t>GO:0002633 // GO:0006508 // GO:0008152 // GO:0009617</t>
  </si>
  <si>
    <t>positive regulation of granuloma formation // proteolysis // metabolic process // response to bacterium</t>
  </si>
  <si>
    <t>100142647</t>
  </si>
  <si>
    <t>mogat3a</t>
  </si>
  <si>
    <t>monoacylglycerol O-acyltransferase 3a</t>
  </si>
  <si>
    <t>GO:0006412 // GO:0042254</t>
  </si>
  <si>
    <t>translation // ribosome biogenesis</t>
  </si>
  <si>
    <t>GO:0005622 // GO:0005840 // GO:0030529</t>
  </si>
  <si>
    <t>intracellular // ribosome // ribonucleoprotein complex</t>
  </si>
  <si>
    <t>550409</t>
  </si>
  <si>
    <t>ms4a17a.7</t>
  </si>
  <si>
    <t>membrane-spanning 4-domains, subfamily A, member 17A.7</t>
  </si>
  <si>
    <t>GO:0009396 // GO:0055114</t>
  </si>
  <si>
    <t>folic acid-containing compound biosynthetic process // oxidation-reduction process</t>
  </si>
  <si>
    <t>492477</t>
  </si>
  <si>
    <t>mvk</t>
  </si>
  <si>
    <t>mevalonate kinase</t>
  </si>
  <si>
    <t>GO:0008152 // GO:0008299 // GO:0016310</t>
  </si>
  <si>
    <t>metabolic process // isoprenoid biosynthetic process // phosphorylation</t>
  </si>
  <si>
    <t>GO:0000166 // GO:0004496 // GO:0005524 // GO:0016301 // GO:0016740 // GO:0016773</t>
  </si>
  <si>
    <t>nucleotide binding // mevalonate kinase activity // ATP binding // kinase activity // transferase activity // phosphotransferase activity, alcohol group as acceptor</t>
  </si>
  <si>
    <t>373081</t>
  </si>
  <si>
    <t>mvp</t>
  </si>
  <si>
    <t>major vault protein</t>
  </si>
  <si>
    <t>GO:0005634 // GO:0005737 // GO:0030529</t>
  </si>
  <si>
    <t>nucleus // cytoplasm // ribonucleoprotein complex</t>
  </si>
  <si>
    <t>GO:0009615</t>
  </si>
  <si>
    <t>response to virus</t>
  </si>
  <si>
    <t>58097</t>
  </si>
  <si>
    <t>myf5</t>
  </si>
  <si>
    <t>myogenic factor 5</t>
  </si>
  <si>
    <t>GO:0002074 // GO:0006355 // GO:0007517 // GO:0007517 // GO:0007519 // GO:0007519 // GO:0043282 // GO:0048741 // GO:0055002</t>
  </si>
  <si>
    <t>extraocular skeletal muscle development // regulation of transcription, DNA-dependent // muscle organ development // muscle organ development // skeletal muscle tissue development // skeletal muscle tissue development // pharyngeal muscle development // skeletal muscle fiber development // striated muscle cell development</t>
  </si>
  <si>
    <t>GO:0008152 // GO:0016310</t>
  </si>
  <si>
    <t>metabolic process // phosphorylation</t>
  </si>
  <si>
    <t>550242</t>
  </si>
  <si>
    <t>nadka</t>
  </si>
  <si>
    <t>NAD kinase a</t>
  </si>
  <si>
    <t>Zv9_NA913</t>
  </si>
  <si>
    <t>GO:0003951 // GO:0016301</t>
  </si>
  <si>
    <t>NAD+ kinase activity // kinase activity</t>
  </si>
  <si>
    <t>GO:0035091</t>
  </si>
  <si>
    <t>phosphatidylinositol binding</t>
  </si>
  <si>
    <t>415100</t>
  </si>
  <si>
    <t>nfkb2</t>
  </si>
  <si>
    <t>nuclear factor of kappa light polypeptide gene enhancer in B-cells 2, p49/p100</t>
  </si>
  <si>
    <t>406463</t>
  </si>
  <si>
    <t>nfkbiaa</t>
  </si>
  <si>
    <t>nuclear factor of kappa light polypeptide gene enhancer in B-cells inhibitor, alpha a</t>
  </si>
  <si>
    <t>323099</t>
  </si>
  <si>
    <t>nfkbiab</t>
  </si>
  <si>
    <t>nuclear factor of kappa light polypeptide gene enhancer in B-cells inhibitor, alpha b</t>
  </si>
  <si>
    <t>GO:0005737 // GO:0005886 // GO:0016020</t>
  </si>
  <si>
    <t>cytoplasm // plasma membrane // membrane</t>
  </si>
  <si>
    <t>30185</t>
  </si>
  <si>
    <t>nog2</t>
  </si>
  <si>
    <t>noggin 2</t>
  </si>
  <si>
    <t>GO:0007275 // GO:0030154 // GO:0030514 // GO:0045596 // GO:0051216</t>
  </si>
  <si>
    <t>multicellular organismal development // cell differentiation // negative regulation of BMP signaling pathway // negative regulation of cell differentiation // cartilage development</t>
  </si>
  <si>
    <t>570510</t>
  </si>
  <si>
    <t>notum3</t>
  </si>
  <si>
    <t>notum 3</t>
  </si>
  <si>
    <t>796461</t>
  </si>
  <si>
    <t>nrg1</t>
  </si>
  <si>
    <t>neuregulin 1</t>
  </si>
  <si>
    <t>GO:0001755 // GO:0007422 // GO:0009790 // GO:0021755 // GO:0021778 // GO:0031101</t>
  </si>
  <si>
    <t>neural crest cell migration // peripheral nervous system development // embryo development // eurydendroid cell differentiation // oligodendrocyte cell fate specification // fin regeneration</t>
  </si>
  <si>
    <t>321769</t>
  </si>
  <si>
    <t>nsa2</t>
  </si>
  <si>
    <t>NSA2 ribosome biogenesis homolog (S. cerevisiae)</t>
  </si>
  <si>
    <t>550369</t>
  </si>
  <si>
    <t>nsdhl</t>
  </si>
  <si>
    <t>NAD(P) dependent steroid dehydrogenase-like</t>
  </si>
  <si>
    <t>GO:0000166 // GO:0003854 // GO:0016491 // GO:0016616</t>
  </si>
  <si>
    <t>nucleotide binding // 3-beta-hydroxy-delta5-steroid dehydrogenase activity // oxidoreductase activity // oxidoreductase activity, acting on the CH-OH group of donors, NAD or NADP as acceptor</t>
  </si>
  <si>
    <t>568941</t>
  </si>
  <si>
    <t>oc90</t>
  </si>
  <si>
    <t>otoconin 90</t>
  </si>
  <si>
    <t>GO:0016042 // GO:0048840 // GO:0048840</t>
  </si>
  <si>
    <t>lipid catabolic process // otolith development // otolith development</t>
  </si>
  <si>
    <t>GO:0004623 // GO:0005509</t>
  </si>
  <si>
    <t>phospholipase A2 activity // calcium ion binding</t>
  </si>
  <si>
    <t>246225</t>
  </si>
  <si>
    <t>onecutl</t>
  </si>
  <si>
    <t>one cut domain, family member, like</t>
  </si>
  <si>
    <t>GO:0006810 // GO:0006869</t>
  </si>
  <si>
    <t>transport // lipid transport</t>
  </si>
  <si>
    <t>334206</t>
  </si>
  <si>
    <t>osbpl2</t>
  </si>
  <si>
    <t>oxysterol binding protein-like 2</t>
  </si>
  <si>
    <t>406789</t>
  </si>
  <si>
    <t>pank1a</t>
  </si>
  <si>
    <t>pantothenate kinase 1a</t>
  </si>
  <si>
    <t>GO:0004594 // GO:0005524</t>
  </si>
  <si>
    <t>pantothenate kinase activity // ATP binding</t>
  </si>
  <si>
    <t>30700</t>
  </si>
  <si>
    <t>pea3</t>
  </si>
  <si>
    <t>ETS-domain transcription factor pea3</t>
  </si>
  <si>
    <t>321928</t>
  </si>
  <si>
    <t>phgdh</t>
  </si>
  <si>
    <t>phosphoglycerate dehydrogenase</t>
  </si>
  <si>
    <t>GO:0006564 // GO:0008152 // GO:0055114</t>
  </si>
  <si>
    <t>L-serine biosynthetic process // metabolic process // oxidation-reduction process</t>
  </si>
  <si>
    <t>GO:0000166 // GO:0004617 // GO:0016616 // GO:0048037 // GO:0051287</t>
  </si>
  <si>
    <t>nucleotide binding // phosphoglycerate dehydrogenase activity // oxidoreductase activity, acting on the CH-OH group of donors, NAD or NADP as acceptor // cofactor binding // NAD binding</t>
  </si>
  <si>
    <t>553622</t>
  </si>
  <si>
    <t>phlda2</t>
  </si>
  <si>
    <t>pleckstrin homology-like domain, family A, member 2</t>
  </si>
  <si>
    <t>368779</t>
  </si>
  <si>
    <t>phlda3</t>
  </si>
  <si>
    <t>pleckstrin homology-like domain, family A, member 3</t>
  </si>
  <si>
    <t>GO:0006915 // GO:0042771 // GO:0051898</t>
  </si>
  <si>
    <t>apoptosis // DNA damage response, signal transduction by p53 class mediator resulting in induction of apoptosis // negative regulation of protein kinase B signaling cascade</t>
  </si>
  <si>
    <t>GO:0005546 // GO:0005547 // GO:0010314 // GO:0032266 // GO:0043325 // GO:0080025</t>
  </si>
  <si>
    <t>phosphatidylinositol-4,5-bisphosphate binding // phosphatidylinositol-3,4,5-trisphosphate binding // phosphatidylinositol-5-phosphate binding // phosphatidylinositol-3-phosphate binding // phosphatidylinositol-3,4-bisphosphate binding // phosphatidylinositol-3,5-bisphosphate binding</t>
  </si>
  <si>
    <t>100002812</t>
  </si>
  <si>
    <t>phospho1</t>
  </si>
  <si>
    <t>phosphatase, orphan 1</t>
  </si>
  <si>
    <t>GO:0008152 // GO:0030500</t>
  </si>
  <si>
    <t>metabolic process // regulation of bone mineralization</t>
  </si>
  <si>
    <t>GO:0016787 // GO:0016791 // GO:0046872</t>
  </si>
  <si>
    <t>hydrolase activity // phosphatase activity // metal ion binding</t>
  </si>
  <si>
    <t>494086</t>
  </si>
  <si>
    <t>pih1d2</t>
  </si>
  <si>
    <t>PIH1 domain containing 2</t>
  </si>
  <si>
    <t>58054</t>
  </si>
  <si>
    <t>pim1</t>
  </si>
  <si>
    <t>pim-1 oncogene</t>
  </si>
  <si>
    <t>GO:0006468 // GO:0006468 // GO:0006468 // GO:0016310 // GO:0030097</t>
  </si>
  <si>
    <t>protein phosphorylation // protein phosphorylation // protein phosphorylation // phosphorylation // hemopoiesis</t>
  </si>
  <si>
    <t>GO:0000166 // GO:0004672 // GO:0004674 // GO:0004674 // GO:0005524 // GO:0005524 // GO:0016301 // GO:0016740 // GO:0016772</t>
  </si>
  <si>
    <t>nucleotide binding // protein kinase activity // protein serine/threonine kinase activity // protein serine/threonine kinase activity // ATP binding // ATP binding // kinase activity // transferase activity // transferase activity, transferring phosphorus-containing groups</t>
  </si>
  <si>
    <t>751765</t>
  </si>
  <si>
    <t>pmaip1</t>
  </si>
  <si>
    <t>phorbol-12-myristate-13-acetate-induced protein 1</t>
  </si>
  <si>
    <t>GO:0001836 // GO:0006917 // GO:0006919 // GO:0006974 // GO:0043065 // GO:0043280</t>
  </si>
  <si>
    <t>release of cytochrome c from mitochondria // induction of apoptosis // activation of caspase activity // response to DNA damage stimulus // positive regulation of apoptosis // positive regulation of caspase activity</t>
  </si>
  <si>
    <t>767699</t>
  </si>
  <si>
    <t>pmt</t>
  </si>
  <si>
    <t>phosphoethanolamine methyltransferase</t>
  </si>
  <si>
    <t>Zv9_NA47</t>
  </si>
  <si>
    <t>Zv9_NA584</t>
  </si>
  <si>
    <t>GO:0006139 // GO:0009116</t>
  </si>
  <si>
    <t>nucleobase-containing compound metabolic process // nucleoside metabolic process</t>
  </si>
  <si>
    <t>GO:0003824 // GO:0004731 // GO:0016763</t>
  </si>
  <si>
    <t>catalytic activity // purine-nucleoside phosphorylase activity // transferase activity, transferring pentosyl groups</t>
  </si>
  <si>
    <t>447889</t>
  </si>
  <si>
    <t>pnp5b</t>
  </si>
  <si>
    <t>purine nucleoside phosphorylase 5b</t>
  </si>
  <si>
    <t>323473</t>
  </si>
  <si>
    <t>prdm1a</t>
  </si>
  <si>
    <t>PR domain containing 1a, with ZNF domain</t>
  </si>
  <si>
    <t>GO:0000122 // GO:0000578 // GO:0007521 // GO:0010629 // GO:0033333 // GO:0035118 // GO:0035138 // GO:0045666 // GO:0051155</t>
  </si>
  <si>
    <t>negative regulation of transcription from RNA polymerase II promoter // embryonic axis specification // muscle cell fate determination // negative regulation of gene expression // fin development // embryonic pectoral fin morphogenesis // pectoral fin morphogenesis // positive regulation of neuron differentiation // positive regulation of striated muscle cell differentiation</t>
  </si>
  <si>
    <t>GO:0003676 // GO:0003700 // GO:0008270</t>
  </si>
  <si>
    <t>nucleic acid binding // sequence-specific DNA binding transcription factor activity // zinc ion binding</t>
  </si>
  <si>
    <t>327512</t>
  </si>
  <si>
    <t>psat1</t>
  </si>
  <si>
    <t>phosphoserine aminotransferase 1</t>
  </si>
  <si>
    <t>GO:0006564 // GO:0006564 // GO:0008152 // GO:0008152 // GO:0008652 // GO:0008652</t>
  </si>
  <si>
    <t>L-serine biosynthetic process // L-serine biosynthetic process // metabolic process // metabolic process // cellular amino acid biosynthetic process // cellular amino acid biosynthetic process</t>
  </si>
  <si>
    <t>GO:0003824 // GO:0003824 // GO:0004648 // GO:0004648 // GO:0008483 // GO:0008483 // GO:0016740 // GO:0016740 // GO:0030170 // GO:0030170</t>
  </si>
  <si>
    <t>catalytic activity // catalytic activity // O-phospho-L-serine:2-oxoglutarate aminotransferase activity // O-phospho-L-serine:2-oxoglutarate aminotransferase activity // transaminase activity // transaminase activity // transferase activity // transferase activity // pyridoxal phosphate binding // pyridoxal phosphate binding</t>
  </si>
  <si>
    <t>336492</t>
  </si>
  <si>
    <t>ptgds</t>
  </si>
  <si>
    <t>prostaglandin D2 synthase</t>
  </si>
  <si>
    <t>GO:0001972 // GO:0004667 // GO:0005215 // GO:0005488</t>
  </si>
  <si>
    <t>retinoic acid binding // prostaglandin-D synthase activity // transporter activity // binding</t>
  </si>
  <si>
    <t>246227</t>
  </si>
  <si>
    <t>ptgs2a</t>
  </si>
  <si>
    <t>prostaglandin-endoperoxide synthase 2a</t>
  </si>
  <si>
    <t>GO:0006979 // GO:0042221 // GO:0055114 // GO:0055114</t>
  </si>
  <si>
    <t>response to oxidative stress // response to chemical stimulus // oxidation-reduction process // oxidation-reduction process</t>
  </si>
  <si>
    <t>GO:0004601 // GO:0004601 // GO:0020037</t>
  </si>
  <si>
    <t>peroxidase activity // peroxidase activity // heme binding</t>
  </si>
  <si>
    <t>559020</t>
  </si>
  <si>
    <t>ptgs2b</t>
  </si>
  <si>
    <t>prostaglandin-endoperoxide synthase 2b</t>
  </si>
  <si>
    <t>405886</t>
  </si>
  <si>
    <t>pth1a</t>
  </si>
  <si>
    <t>parathyroid hormone 1a</t>
  </si>
  <si>
    <t>GO:0004871 // GO:0004872 // GO:0004888 // GO:0004930 // GO:0004991</t>
  </si>
  <si>
    <t>signal transducer activity // receptor activity // transmembrane signaling receptor activity // G-protein coupled receptor activity // parathyroid hormone receptor activity</t>
  </si>
  <si>
    <t>30651</t>
  </si>
  <si>
    <t>pth1rb</t>
  </si>
  <si>
    <t>parathyroid hormone 1 receptor b</t>
  </si>
  <si>
    <t>GO:0044237</t>
  </si>
  <si>
    <t>cellular metabolic process</t>
  </si>
  <si>
    <t>GO:0000166 // GO:0003824 // GO:0050662</t>
  </si>
  <si>
    <t>nucleotide binding // catalytic activity // coenzyme binding</t>
  </si>
  <si>
    <t>GO:0007264 // GO:0015031</t>
  </si>
  <si>
    <t>small GTPase mediated signal transduction // protein transport</t>
  </si>
  <si>
    <t>GO:0007264 // GO:0050790 // GO:0051056</t>
  </si>
  <si>
    <t>small GTPase mediated signal transduction // regulation of catalytic activity // regulation of small GTPase mediated signal transduction</t>
  </si>
  <si>
    <t>GO:0005085 // GO:0005088</t>
  </si>
  <si>
    <t>guanyl-nucleotide exchange factor activity // Ras guanyl-nucleotide exchange factor activity</t>
  </si>
  <si>
    <t>445085</t>
  </si>
  <si>
    <t>rasgef1bb</t>
  </si>
  <si>
    <t>RasGEF domain family, member 1Bb</t>
  </si>
  <si>
    <t>436597</t>
  </si>
  <si>
    <t>rdh12</t>
  </si>
  <si>
    <t>retinol dehydrogenase 12 (all-trans and 9-cis)</t>
  </si>
  <si>
    <t>494176</t>
  </si>
  <si>
    <t>rdh12l</t>
  </si>
  <si>
    <t>retinol dehydrogenase 12, like</t>
  </si>
  <si>
    <t>GO:0004252</t>
  </si>
  <si>
    <t>serine-type endopeptidase activity</t>
  </si>
  <si>
    <t>751645</t>
  </si>
  <si>
    <t>rnd2</t>
  </si>
  <si>
    <t>Rho family GTPase 2</t>
  </si>
  <si>
    <t>GO:0005525</t>
  </si>
  <si>
    <t>GTP binding</t>
  </si>
  <si>
    <t>406266</t>
  </si>
  <si>
    <t>rsl24d1</t>
  </si>
  <si>
    <t>ribosomal L24 domain containing 1</t>
  </si>
  <si>
    <t>GO:0005634 // GO:0005730 // GO:0005840</t>
  </si>
  <si>
    <t>nucleus // nucleolus // ribosome</t>
  </si>
  <si>
    <t>436825</t>
  </si>
  <si>
    <t>s100b</t>
  </si>
  <si>
    <t>S100 calcium binding protein, beta (neural)</t>
  </si>
  <si>
    <t>554089</t>
  </si>
  <si>
    <t>s100z</t>
  </si>
  <si>
    <t>S100 calcium binding protein Z</t>
  </si>
  <si>
    <t>100003913</t>
  </si>
  <si>
    <t>sc:d136</t>
  </si>
  <si>
    <t>406662</t>
  </si>
  <si>
    <t>sc4mol</t>
  </si>
  <si>
    <t>sterol-C4-methyl oxidase-like</t>
  </si>
  <si>
    <t>GO:0000254 // GO:0005506 // GO:0016491</t>
  </si>
  <si>
    <t>C-4 methylsterol oxidase activity // iron ion binding // oxidoreductase activity</t>
  </si>
  <si>
    <t>447891</t>
  </si>
  <si>
    <t>sc5dl</t>
  </si>
  <si>
    <t>sterol-C5-desaturase (ERG3 delta-5-desaturase homolog, S. cerevisiae)-like</t>
  </si>
  <si>
    <t>GO:0006633 // GO:0055114</t>
  </si>
  <si>
    <t>fatty acid biosynthetic process // oxidation-reduction process</t>
  </si>
  <si>
    <t>GO:0005506 // GO:0016491</t>
  </si>
  <si>
    <t>iron ion binding // oxidoreductase activity</t>
  </si>
  <si>
    <t>192340</t>
  </si>
  <si>
    <t>scarb2</t>
  </si>
  <si>
    <t>scavenger receptor class B, member 2</t>
  </si>
  <si>
    <t>GO:0005764 // GO:0016020</t>
  </si>
  <si>
    <t>lysosome // membrane</t>
  </si>
  <si>
    <t>386661</t>
  </si>
  <si>
    <t>scd</t>
  </si>
  <si>
    <t>stearoyl-CoA desaturase (delta-9-desaturase)</t>
  </si>
  <si>
    <t>GO:0006629 // GO:0006633 // GO:0008610 // GO:0055114</t>
  </si>
  <si>
    <t>lipid metabolic process // fatty acid biosynthetic process // lipid biosynthetic process // oxidation-reduction process</t>
  </si>
  <si>
    <t>GO:0004768 // GO:0005506 // GO:0016491 // GO:0016717</t>
  </si>
  <si>
    <t>stearoyl-CoA 9-desaturase activity // iron ion binding // oxidoreductase activity // oxidoreductase activity, acting on paired donors, with oxidation of a pair of donors resulting in the reduction of molecular oxygen to two molecules of water</t>
  </si>
  <si>
    <t>368684</t>
  </si>
  <si>
    <t>scel</t>
  </si>
  <si>
    <t>sciellin</t>
  </si>
  <si>
    <t>100136840</t>
  </si>
  <si>
    <t>serpine1</t>
  </si>
  <si>
    <t>serpin peptidase inhibitor, clade E (nexin, plasminogen activator inhibitor type 1), member 1</t>
  </si>
  <si>
    <t>GO:0004867 // GO:0005125 // GO:0008009</t>
  </si>
  <si>
    <t>serine-type endopeptidase inhibitor activity // cytokine activity // chemokine activity</t>
  </si>
  <si>
    <t>436933</t>
  </si>
  <si>
    <t>sesn1</t>
  </si>
  <si>
    <t>sestrin 1</t>
  </si>
  <si>
    <t>GO:0007050 // GO:0007368</t>
  </si>
  <si>
    <t>cell cycle arrest // determination of left/right symmetry</t>
  </si>
  <si>
    <t>100149745</t>
  </si>
  <si>
    <t>sesn2</t>
  </si>
  <si>
    <t>sestrin 2</t>
  </si>
  <si>
    <t>GO:0007050</t>
  </si>
  <si>
    <t>cell cycle arrest</t>
  </si>
  <si>
    <t>GO:0006812 // GO:0055085</t>
  </si>
  <si>
    <t>cation transport // transmembrane transport</t>
  </si>
  <si>
    <t>GO:0008324</t>
  </si>
  <si>
    <t>cation transmembrane transporter activity</t>
  </si>
  <si>
    <t>334757</t>
  </si>
  <si>
    <t>sfxn2</t>
  </si>
  <si>
    <t>sideroflexin 2</t>
  </si>
  <si>
    <t>368621</t>
  </si>
  <si>
    <t>si:busm1-57f23.1</t>
  </si>
  <si>
    <t>407646</t>
  </si>
  <si>
    <t>si:ch211-102c2.6</t>
  </si>
  <si>
    <t>GO:0015889</t>
  </si>
  <si>
    <t>cobalamin transport</t>
  </si>
  <si>
    <t>GO:0031419</t>
  </si>
  <si>
    <t>cobalamin binding</t>
  </si>
  <si>
    <t>571470</t>
  </si>
  <si>
    <t>si:ch211-107o23.1</t>
  </si>
  <si>
    <t>GO:0006810 // GO:0006836</t>
  </si>
  <si>
    <t>transport // neurotransmitter transport</t>
  </si>
  <si>
    <t>GO:0005328 // GO:0015293</t>
  </si>
  <si>
    <t>neurotransmitter:sodium symporter activity // symporter activity</t>
  </si>
  <si>
    <t>GO:0004867 // GO:0030414</t>
  </si>
  <si>
    <t>serine-type endopeptidase inhibitor activity // peptidase inhibitor activity</t>
  </si>
  <si>
    <t>100034442</t>
  </si>
  <si>
    <t>si:ch211-222k6.3</t>
  </si>
  <si>
    <t>570302</t>
  </si>
  <si>
    <t>si:ch211-235o23.1</t>
  </si>
  <si>
    <t>571911</t>
  </si>
  <si>
    <t>si:ch73-107c13.2</t>
  </si>
  <si>
    <t>GO:0008610 // GO:0009058</t>
  </si>
  <si>
    <t>lipid biosynthetic process // biosynthetic process</t>
  </si>
  <si>
    <t>GO:0004310 // GO:0016740 // GO:0016765</t>
  </si>
  <si>
    <t>farnesyl-diphosphate farnesyltransferase activity // transferase activity // transferase activity, transferring alkyl or aryl (other than methyl) groups</t>
  </si>
  <si>
    <t>795785</t>
  </si>
  <si>
    <t>si:ch73-6k14.1</t>
  </si>
  <si>
    <t>566223</t>
  </si>
  <si>
    <t>si:dkey-127j5.5</t>
  </si>
  <si>
    <t>768134</t>
  </si>
  <si>
    <t>si:dkey-184p18.2</t>
  </si>
  <si>
    <t>GO:0006351 // GO:0006355 // GO:0007179</t>
  </si>
  <si>
    <t>transcription, DNA-dependent // regulation of transcription, DNA-dependent // transforming growth factor beta receptor signaling pathway</t>
  </si>
  <si>
    <t>GO:0005622 // GO:0005634 // GO:0005667</t>
  </si>
  <si>
    <t>intracellular // nucleus // transcription factor complex</t>
  </si>
  <si>
    <t>100034522</t>
  </si>
  <si>
    <t>si:dkey-25e12.5</t>
  </si>
  <si>
    <t>GO:0003824 // GO:0004329 // GO:0004488 // GO:0005524 // GO:0016787</t>
  </si>
  <si>
    <t>catalytic activity // formate-tetrahydrofolate ligase activity // methylenetetrahydrofolate dehydrogenase (NADP+) activity // ATP binding // hydrolase activity</t>
  </si>
  <si>
    <t>550429</t>
  </si>
  <si>
    <t>si:dkey-53p21.1</t>
  </si>
  <si>
    <t>GO:0000166 // GO:0005506 // GO:0009055 // GO:0016491 // GO:0050660</t>
  </si>
  <si>
    <t>nucleotide binding // iron ion binding // electron carrier activity // oxidoreductase activity // flavin adenine dinucleotide binding</t>
  </si>
  <si>
    <t>100034578</t>
  </si>
  <si>
    <t>si:dkey-97m3.1</t>
  </si>
  <si>
    <t>571915</t>
  </si>
  <si>
    <t>si:dkey-9i23.16</t>
  </si>
  <si>
    <t>100008047</t>
  </si>
  <si>
    <t>si:dkeyp-87e7.3</t>
  </si>
  <si>
    <t>100170835</t>
  </si>
  <si>
    <t>skilb</t>
  </si>
  <si>
    <t>SKI-like oncogene b</t>
  </si>
  <si>
    <t>GO:0000166 // GO:0005488</t>
  </si>
  <si>
    <t>nucleotide binding // binding</t>
  </si>
  <si>
    <t>GO:0015293</t>
  </si>
  <si>
    <t>symporter activity</t>
  </si>
  <si>
    <t>GO:0006835</t>
  </si>
  <si>
    <t>dicarboxylic acid transport</t>
  </si>
  <si>
    <t>GO:0017153</t>
  </si>
  <si>
    <t>sodium:dicarboxylate symporter activity</t>
  </si>
  <si>
    <t>368885</t>
  </si>
  <si>
    <t>slc1a4</t>
  </si>
  <si>
    <t>solute carrier family 1 (glutamate/neutral amino acid transporter), member 4</t>
  </si>
  <si>
    <t>GO:0003333 // GO:0006821 // GO:0006835 // GO:0015807 // GO:0015808 // GO:0015811 // GO:0015825 // GO:0015826 // GO:0034220 // GO:0034589 // GO:0035524 // GO:0072337</t>
  </si>
  <si>
    <t>amino acid transmembrane transport // chloride transport // dicarboxylic acid transport // L-amino acid transport // L-alanine transport // L-cystine transport // L-serine transport // threonine transport // ion transmembrane transport // hydroxyproline transport // proline transmembrane transport // modified amino acid transport</t>
  </si>
  <si>
    <t>100002129</t>
  </si>
  <si>
    <t>slc1a5</t>
  </si>
  <si>
    <t>solute carrier family 1 (neutral amino acid transporter), member 5</t>
  </si>
  <si>
    <t>393579</t>
  </si>
  <si>
    <t>slc25a1</t>
  </si>
  <si>
    <t>solute carrier family 25 (mitochondrial carrier; citrate transporter), member 1</t>
  </si>
  <si>
    <t>GO:0005739 // GO:0016020 // GO:0016021</t>
  </si>
  <si>
    <t>mitochondrion // membrane // integral to membrane</t>
  </si>
  <si>
    <t>796731</t>
  </si>
  <si>
    <t>slc25a43</t>
  </si>
  <si>
    <t>solute carrier family 25, member 43</t>
  </si>
  <si>
    <t>566537</t>
  </si>
  <si>
    <t>slc38a2</t>
  </si>
  <si>
    <t>solute carrier family 38, member 2</t>
  </si>
  <si>
    <t>GO:0006810 // GO:0006811 // GO:0006814 // GO:0006865</t>
  </si>
  <si>
    <t>transport // ion transport // sodium ion transport // amino acid transport</t>
  </si>
  <si>
    <t>GO:0005385 // GO:0046873</t>
  </si>
  <si>
    <t>zinc ion transmembrane transporter activity // metal ion transmembrane transporter activity</t>
  </si>
  <si>
    <t>792986</t>
  </si>
  <si>
    <t>slc39a3</t>
  </si>
  <si>
    <t>solute carrier family 39 (zinc transporter), member 3</t>
  </si>
  <si>
    <t>GO:0006829 // GO:0010043 // GO:0030001 // GO:0055085 // GO:0071577</t>
  </si>
  <si>
    <t>zinc ion transport // response to zinc ion // metal ion transport // transmembrane transport // zinc ion transmembrane transport</t>
  </si>
  <si>
    <t>GO:0003824 // GO:0043169</t>
  </si>
  <si>
    <t>catalytic activity // cation binding</t>
  </si>
  <si>
    <t>436697</t>
  </si>
  <si>
    <t>slc48a1a</t>
  </si>
  <si>
    <t>solute carrier family 48 (heme transporter), member 1a</t>
  </si>
  <si>
    <t>GO:0005764 // GO:0005765 // GO:0005768 // GO:0010008 // GO:0016020 // GO:0016021</t>
  </si>
  <si>
    <t>lysosome // lysosomal membrane // endosome // endosome membrane // membrane // integral to membrane</t>
  </si>
  <si>
    <t>GO:0003333 // GO:0006810 // GO:0006865 // GO:0055085</t>
  </si>
  <si>
    <t>amino acid transmembrane transport // transport // amino acid transport // transmembrane transport</t>
  </si>
  <si>
    <t>GO:0015171</t>
  </si>
  <si>
    <t>amino acid transmembrane transporter activity</t>
  </si>
  <si>
    <t>492363</t>
  </si>
  <si>
    <t>slc7a3</t>
  </si>
  <si>
    <t>solute carrier family 7 (cationic amino acid transporter, y+ system), member 3</t>
  </si>
  <si>
    <t>445564</t>
  </si>
  <si>
    <t>smad9</t>
  </si>
  <si>
    <t>MAD homolog 9 (Drosophila)</t>
  </si>
  <si>
    <t>335409</t>
  </si>
  <si>
    <t>socs3a</t>
  </si>
  <si>
    <t>suppressor of cytokine signaling 3a</t>
  </si>
  <si>
    <t>406596</t>
  </si>
  <si>
    <t>socs3b</t>
  </si>
  <si>
    <t>suppressor of cytokine signaling 3b</t>
  </si>
  <si>
    <t>GO:0006351 // GO:0006355 // GO:0035118 // GO:0045743</t>
  </si>
  <si>
    <t>transcription, DNA-dependent // regulation of transcription, DNA-dependent // embryonic pectoral fin morphogenesis // positive regulation of fibroblast growth factor receptor signaling pathway</t>
  </si>
  <si>
    <t>405896</t>
  </si>
  <si>
    <t>sp9</t>
  </si>
  <si>
    <t>sp9 transcription factor</t>
  </si>
  <si>
    <t>445080</t>
  </si>
  <si>
    <t>spsb4b</t>
  </si>
  <si>
    <t>splA/ryanodine receptor domain and SOCS box containing 4b</t>
  </si>
  <si>
    <t>406452</t>
  </si>
  <si>
    <t>sqstm1</t>
  </si>
  <si>
    <t>sequestosome 1</t>
  </si>
  <si>
    <t>793274</t>
  </si>
  <si>
    <t>srebf1</t>
  </si>
  <si>
    <t>sterol regulatory element binding transcription factor 1</t>
  </si>
  <si>
    <t>100037309</t>
  </si>
  <si>
    <t>srebf2</t>
  </si>
  <si>
    <t>sterol regulatory element binding transcription factor 2</t>
  </si>
  <si>
    <t>GO:0006351 // GO:0006355 // GO:0006629 // GO:0008202 // GO:0008203</t>
  </si>
  <si>
    <t>transcription, DNA-dependent // regulation of transcription, DNA-dependent // lipid metabolic process // steroid metabolic process // cholesterol metabolic process</t>
  </si>
  <si>
    <t>GO:0000139 // GO:0005634 // GO:0005783 // GO:0005789 // GO:0005794 // GO:0012507 // GO:0016020 // GO:0016021 // GO:0031410</t>
  </si>
  <si>
    <t>Golgi membrane // nucleus // endoplasmic reticulum // endoplasmic reticulum membrane // Golgi apparatus // ER to Golgi transport vesicle membrane // membrane // integral to membrane // cytoplasmic vesicle</t>
  </si>
  <si>
    <t>GO:0003700 // GO:0004871 // GO:0005509</t>
  </si>
  <si>
    <t>sequence-specific DNA binding transcription factor activity // signal transducer activity // calcium ion binding</t>
  </si>
  <si>
    <t>30767</t>
  </si>
  <si>
    <t>stat3</t>
  </si>
  <si>
    <t>signal transduction and activation of transcription 3</t>
  </si>
  <si>
    <t>GO:0001736 // GO:0001837 // GO:0006355 // GO:0007165 // GO:0008045 // GO:0030010 // GO:0042074 // GO:0043526 // GO:0060252</t>
  </si>
  <si>
    <t>establishment of planar polarity // epithelial to mesenchymal transition // regulation of transcription, DNA-dependent // signal transduction // motor axon guidance // establishment of cell polarity // cell migration involved in gastrulation // neuroprotection // positive regulation of glial cell proliferation</t>
  </si>
  <si>
    <t>544665</t>
  </si>
  <si>
    <t>stc2</t>
  </si>
  <si>
    <t>stanniocalcin 2</t>
  </si>
  <si>
    <t>GO:0006351 // GO:0006354 // GO:0006355 // GO:0006357 // GO:0006414 // GO:0032784</t>
  </si>
  <si>
    <t>transcription, DNA-dependent // transcription elongation, DNA-dependent // regulation of transcription, DNA-dependent // regulation of transcription from RNA polymerase II promoter // translational elongation // regulation of transcription elongation, DNA-dependent</t>
  </si>
  <si>
    <t>GO:0003676 // GO:0003677 // GO:0003746 // GO:0008270</t>
  </si>
  <si>
    <t>nucleic acid binding // DNA binding // translation elongation factor activity // zinc ion binding</t>
  </si>
  <si>
    <t>402983</t>
  </si>
  <si>
    <t>tcea3</t>
  </si>
  <si>
    <t>transcription elongation factor A (SII), 3</t>
  </si>
  <si>
    <t>406528</t>
  </si>
  <si>
    <t>tdh</t>
  </si>
  <si>
    <t>L-threonine dehydrogenase</t>
  </si>
  <si>
    <t>114834</t>
  </si>
  <si>
    <t>tfe3a</t>
  </si>
  <si>
    <t>transcription factor binding to IGHM enhancer 3a</t>
  </si>
  <si>
    <t>378713</t>
  </si>
  <si>
    <t>tkt</t>
  </si>
  <si>
    <t>transketolase</t>
  </si>
  <si>
    <t>GO:0003824 // GO:0004802 // GO:0016740</t>
  </si>
  <si>
    <t>catalytic activity // transketolase activity // transferase activity</t>
  </si>
  <si>
    <t>494054</t>
  </si>
  <si>
    <t>tm7sf2</t>
  </si>
  <si>
    <t>transmembrane 7 superfamily member 2</t>
  </si>
  <si>
    <t>GO:0016628</t>
  </si>
  <si>
    <t>oxidoreductase activity, acting on the CH-CH group of donors, NAD or NADP as acceptor</t>
  </si>
  <si>
    <t>449819</t>
  </si>
  <si>
    <t>tmbim1</t>
  </si>
  <si>
    <t>transmembrane BAX inhibitor motif containing 1</t>
  </si>
  <si>
    <t>450031</t>
  </si>
  <si>
    <t>tmem189</t>
  </si>
  <si>
    <t>transmembrane protein 189</t>
  </si>
  <si>
    <t>GO:0005615 // GO:0016020</t>
  </si>
  <si>
    <t>extracellular space // membrane</t>
  </si>
  <si>
    <t>GO:0005125 // GO:0005164</t>
  </si>
  <si>
    <t>cytokine activity // tumor necrosis factor receptor binding</t>
  </si>
  <si>
    <t>554167</t>
  </si>
  <si>
    <t>tnfb</t>
  </si>
  <si>
    <t>tumor necrosis factor b (TNF superfamily, member 2)</t>
  </si>
  <si>
    <t>568021</t>
  </si>
  <si>
    <t>tp53inp1</t>
  </si>
  <si>
    <t>tumor protein p53 inducible nuclear protein 1</t>
  </si>
  <si>
    <t>405805</t>
  </si>
  <si>
    <t>trib3</t>
  </si>
  <si>
    <t>tribbles homolog 3 (Drosophila)</t>
  </si>
  <si>
    <t>GO:0003714 // GO:0004672 // GO:0005524 // GO:0016772</t>
  </si>
  <si>
    <t>transcription corepressor activity // protein kinase activity // ATP binding // transferase activity, transferring phosphorus-containing groups</t>
  </si>
  <si>
    <t>554960</t>
  </si>
  <si>
    <t>ubxn6</t>
  </si>
  <si>
    <t>UBX domain protein 6</t>
  </si>
  <si>
    <t>83908</t>
  </si>
  <si>
    <t>ucp1</t>
  </si>
  <si>
    <t>uncoupling protein 1</t>
  </si>
  <si>
    <t>GO:0006810 // GO:0006839 // GO:0042221</t>
  </si>
  <si>
    <t>transport // mitochondrial transport // response to chemical stimulus</t>
  </si>
  <si>
    <t>564412</t>
  </si>
  <si>
    <t>ush1c</t>
  </si>
  <si>
    <t>Usher syndrome 1C (autosomal recessive, severe)</t>
  </si>
  <si>
    <t>564511</t>
  </si>
  <si>
    <t>vdrb</t>
  </si>
  <si>
    <t>vitamin D receptor b</t>
  </si>
  <si>
    <t>368201</t>
  </si>
  <si>
    <t>ved</t>
  </si>
  <si>
    <t>ventrally expressed dharma/bozozok antagonist</t>
  </si>
  <si>
    <t>GO:0006355 // GO:0009953 // GO:0009953 // GO:0060061</t>
  </si>
  <si>
    <t>regulation of transcription, DNA-dependent // dorsal/ventral pattern formation // dorsal/ventral pattern formation // Spemann organizer formation</t>
  </si>
  <si>
    <t>30682</t>
  </si>
  <si>
    <t>vegfaa</t>
  </si>
  <si>
    <t>vascular endothelial growth factor Aa</t>
  </si>
  <si>
    <t>GO:0001525 // GO:0001525 // GO:0001525 // GO:0001525 // GO:0001525 // GO:0001525 // GO:0001525 // GO:0001525 // GO:0001568 // GO:0001568 // GO:0001569 // GO:0001569 // GO:0001570 // GO:0001570 // GO:0001570 // GO:0001570 // GO:0001944 // GO:0001944 // GO:0001944 // GO:0001944 // GO:0002040 // GO:0002040 // GO:0002040 // GO:0002040 // GO:0002043 // GO:0002043 // GO:0007202 // GO:0007202 // GO:0007275 // GO:0007275 // GO:0008016 // GO:0008016 // GO:0008045 // GO:0008045 // GO:0016310 // GO:0016310 // GO:0030097 // GO:0030097 // GO:0030097 // GO:0030097 // GO:0030154 // GO:0030154 // GO:0030878 // GO:0030878 // GO:0035477 // GO:0035477 // GO:0035479 // GO:0035479 // GO:0043491 // GO:0043491 // GO:0048010 // GO:0048010 // GO:0048793 // GO:0048793 // GO:0048844 // GO:0048844 // GO:0051781 // GO:0051781</t>
  </si>
  <si>
    <t>angiogenesis // angiogenesis // angiogenesis // angiogenesis // angiogenesis // angiogenesis // angiogenesis // angiogenesis // blood vessel development // blood vessel development // patterning of blood vessels // patterning of blood vessels // vasculogenesis // vasculogenesis // vasculogenesis // vasculogenesis // vasculature development // vasculature development // vasculature development // vasculature development // sprouting angiogenesis // sprouting angiogenesis // sprouting angiogenesis // sprouting angiogenesis // blood vessel endothelial cell proliferation involved in sprouting angiogenesis // blood vessel endothelial cell proliferation involved in sprouting angiogenesis // activation of phospholipase C activity // activation of phospholipase C activity // multicellular organismal development // multicellular organismal development // regulation of heart contraction // regulation of heart contraction // motor axon guidance // motor axon guidance // phosphorylation // phosphorylation // hemopoiesis // hemopoiesis // hemopoiesis // hemopoiesis // cell differentiation // cell differentiation // thyroid gland development // thyroid gland development // regulation of angioblast cell migration involved in selective angioblast sprouting // regulation of angioblast cell migration involved in selective angioblast sprouting // angioblast cell migration from lateral mesoderm to midline // angioblast cell migration from lateral mesoderm to midline // protein kinase B signaling cascade // protein kinase B signaling cascade // vascular endothelial growth factor receptor signaling pathway // vascular endothelial growth factor receptor signaling pathway // pronephros development // pronephros development // artery morphogenesis // artery morphogenesis // positive regulation of cell division // positive regulation of cell division</t>
  </si>
  <si>
    <t>GO:0005576 // GO:0005576 // GO:0005576 // GO:0005576 // GO:0016020 // GO:0016020</t>
  </si>
  <si>
    <t>extracellular region // extracellular region // extracellular region // extracellular region // membrane // membrane</t>
  </si>
  <si>
    <t>GO:0005515 // GO:0005515 // GO:0008083 // GO:0008083 // GO:0008083 // GO:0008083</t>
  </si>
  <si>
    <t>protein binding // protein binding // growth factor activity // growth factor activity // growth factor activity // growth factor activity</t>
  </si>
  <si>
    <t>378837</t>
  </si>
  <si>
    <t>vps13a</t>
  </si>
  <si>
    <t>vacuolar protein sorting 13 homolog A (S. cerevisiae)</t>
  </si>
  <si>
    <t>GO:0008104</t>
  </si>
  <si>
    <t>protein localization</t>
  </si>
  <si>
    <t>393362</t>
  </si>
  <si>
    <t>wipi1</t>
  </si>
  <si>
    <t>WD repeat domain, phosphoinositide interacting 1</t>
  </si>
  <si>
    <t>GO:0016236</t>
  </si>
  <si>
    <t>macroautophagy</t>
  </si>
  <si>
    <t>GO:0005829 // GO:0034045 // GO:0070772</t>
  </si>
  <si>
    <t>cytosol // pre-autophagosomal structure membrane // PAS complex</t>
  </si>
  <si>
    <t>GO:0030331 // GO:0032266 // GO:0050681 // GO:0080025</t>
  </si>
  <si>
    <t>estrogen receptor binding // phosphatidylinositol-3-phosphate binding // androgen receptor binding // phosphatidylinositol-3,5-bisphosphate binding</t>
  </si>
  <si>
    <t>GO:0005102 // GO:0005110</t>
  </si>
  <si>
    <t>receptor binding // frizzled-2 binding</t>
  </si>
  <si>
    <t>GO:0005576 // GO:0005578 // GO:0005615 // GO:0005886</t>
  </si>
  <si>
    <t>extracellular region // proteinaceous extracellular matrix // extracellular space // plasma membrane</t>
  </si>
  <si>
    <t>568191</t>
  </si>
  <si>
    <t>wnt5a</t>
  </si>
  <si>
    <t>wingless-type MMTV integration site family, member 5a</t>
  </si>
  <si>
    <t>GO:0001756 // GO:0001843 // GO:0001947 // GO:0002053 // GO:0003323 // GO:0003344 // GO:0007223 // GO:0007275 // GO:0009950 // GO:0016055 // GO:0030514 // GO:0035121 // GO:0040037 // GO:0042733 // GO:0043507 // GO:0046330 // GO:0048546 // GO:0050679 // GO:0060029 // GO:0060071 // GO:0060157 // GO:0060541 // GO:0060599 // GO:0060744 // GO:0060750 // GO:0060762 // GO:0061036 // GO:0071425 // GO:0071542 // GO:0090009 // GO:0090090 // GO:0090103</t>
  </si>
  <si>
    <t>somitogenesis // neural tube closure // heart looping // positive regulation of mesenchymal cell proliferation // type B pancreatic cell development // pericardium morphogenesis // Wnt receptor signaling pathway, calcium modulating pathway // multicellular organismal development // dorsal/ventral axis specification // Wnt receptor signaling pathway // negative regulation of BMP signaling pathway // tail morphogenesis // negative regulation of fibroblast growth factor receptor signaling pathway // embryonic digit morphogenesis // positive regulation of JUN kinase activity // positive regulation of JNK cascade // digestive tract morphogenesis // positive regulation of epithelial cell proliferation // convergent extension involved in organogenesis // Wnt receptor signaling pathway, planar cell polarity pathway // urinary bladder development // respiratory system development // lateral sprouting involved in mammary gland duct morphogenesis // mammary gland branching involved in thelarche // epithelial cell proliferation involved in mammary gland duct elongation // regulation of branching involved in mammary gland duct morphogenesis // positive regulation of cartilage development // hemopoietic stem cell proliferation // dopaminergic neuron differentiation // primitive streak formation // negative regulation of canonical Wnt receptor signaling pathway // cochlea morphogenesis</t>
  </si>
  <si>
    <t>561592</t>
  </si>
  <si>
    <t>wu:fb12c06</t>
  </si>
  <si>
    <t>556585</t>
  </si>
  <si>
    <t>wu:fb12e11</t>
  </si>
  <si>
    <t>321502</t>
  </si>
  <si>
    <t>wu:fb17f05</t>
  </si>
  <si>
    <t>492781</t>
  </si>
  <si>
    <t>zgc:100824</t>
  </si>
  <si>
    <t>GO:0006694 // GO:0006695 // GO:0008299 // GO:0008610 // GO:0016126 // GO:0016310</t>
  </si>
  <si>
    <t>steroid biosynthetic process // cholesterol biosynthetic process // isoprenoid biosynthetic process // lipid biosynthetic process // sterol biosynthetic process // phosphorylation</t>
  </si>
  <si>
    <t>GO:0000166 // GO:0004163 // GO:0005524 // GO:0016301 // GO:0016829</t>
  </si>
  <si>
    <t>nucleotide binding // diphosphomevalonate decarboxylase activity // ATP binding // kinase activity // lyase activity</t>
  </si>
  <si>
    <t>445247</t>
  </si>
  <si>
    <t>zgc:100911</t>
  </si>
  <si>
    <t>Zv9_NA918</t>
  </si>
  <si>
    <t>GO:0019717</t>
  </si>
  <si>
    <t>synaptosome</t>
  </si>
  <si>
    <t>572841</t>
  </si>
  <si>
    <t>zgc:101798</t>
  </si>
  <si>
    <t>493612</t>
  </si>
  <si>
    <t>zgc:101810</t>
  </si>
  <si>
    <t>550522</t>
  </si>
  <si>
    <t>zgc:109868</t>
  </si>
  <si>
    <t>GO:0003735 // GO:0046872</t>
  </si>
  <si>
    <t>structural constituent of ribosome // metal ion binding</t>
  </si>
  <si>
    <t>550551</t>
  </si>
  <si>
    <t>zgc:110152</t>
  </si>
  <si>
    <t>550277</t>
  </si>
  <si>
    <t>zgc:110266</t>
  </si>
  <si>
    <t>553612</t>
  </si>
  <si>
    <t>zgc:110354</t>
  </si>
  <si>
    <t>791612</t>
  </si>
  <si>
    <t>zgc:110847</t>
  </si>
  <si>
    <t>550378</t>
  </si>
  <si>
    <t>zgc:112009</t>
  </si>
  <si>
    <t>555962</t>
  </si>
  <si>
    <t>zgc:112355</t>
  </si>
  <si>
    <t>553806</t>
  </si>
  <si>
    <t>zgc:112372</t>
  </si>
  <si>
    <t>557352</t>
  </si>
  <si>
    <t>zgc:114170</t>
  </si>
  <si>
    <t>322404</t>
  </si>
  <si>
    <t>zgc:123178</t>
  </si>
  <si>
    <t>641321</t>
  </si>
  <si>
    <t>zgc:123218</t>
  </si>
  <si>
    <t>641427</t>
  </si>
  <si>
    <t>zgc:123272</t>
  </si>
  <si>
    <t>724003</t>
  </si>
  <si>
    <t>zgc:136474</t>
  </si>
  <si>
    <t>677743</t>
  </si>
  <si>
    <t>zgc:136826</t>
  </si>
  <si>
    <t>GO:0006412 // GO:0006919 // GO:0045727</t>
  </si>
  <si>
    <t>translation // activation of caspase activity // positive regulation of translation</t>
  </si>
  <si>
    <t>723998</t>
  </si>
  <si>
    <t>zgc:136894</t>
  </si>
  <si>
    <t>572245</t>
  </si>
  <si>
    <t>zgc:152911</t>
  </si>
  <si>
    <t>767774</t>
  </si>
  <si>
    <t>zgc:153027</t>
  </si>
  <si>
    <t>767649</t>
  </si>
  <si>
    <t>zgc:153286</t>
  </si>
  <si>
    <t>767776</t>
  </si>
  <si>
    <t>zgc:153924</t>
  </si>
  <si>
    <t>768160</t>
  </si>
  <si>
    <t>zgc:154176</t>
  </si>
  <si>
    <t>790944</t>
  </si>
  <si>
    <t>zgc:158276</t>
  </si>
  <si>
    <t>100004879</t>
  </si>
  <si>
    <t>zgc:158292</t>
  </si>
  <si>
    <t>100009644</t>
  </si>
  <si>
    <t>zgc:158345</t>
  </si>
  <si>
    <t>100009641</t>
  </si>
  <si>
    <t>zgc:158766</t>
  </si>
  <si>
    <t>565497</t>
  </si>
  <si>
    <t>zgc:158852</t>
  </si>
  <si>
    <t>797943</t>
  </si>
  <si>
    <t>zgc:162126</t>
  </si>
  <si>
    <t>561924</t>
  </si>
  <si>
    <t>zgc:162630</t>
  </si>
  <si>
    <t>100003383</t>
  </si>
  <si>
    <t>zgc:162701</t>
  </si>
  <si>
    <t>GO:0006695 // GO:0016310</t>
  </si>
  <si>
    <t>cholesterol biosynthetic process // phosphorylation</t>
  </si>
  <si>
    <t>GO:0004631</t>
  </si>
  <si>
    <t>phosphomevalonate kinase activity</t>
  </si>
  <si>
    <t>567809</t>
  </si>
  <si>
    <t>zgc:162925</t>
  </si>
  <si>
    <t>100038790</t>
  </si>
  <si>
    <t>zgc:163121</t>
  </si>
  <si>
    <t>799528</t>
  </si>
  <si>
    <t>zgc:171801</t>
  </si>
  <si>
    <t>GO:0006631 // GO:0008152 // GO:0055114</t>
  </si>
  <si>
    <t>fatty acid metabolic process // metabolic process // oxidation-reduction process</t>
  </si>
  <si>
    <t>GO:0003857 // GO:0004506 // GO:0016491 // GO:0050660</t>
  </si>
  <si>
    <t>3-hydroxyacyl-CoA dehydrogenase activity // squalene monooxygenase activity // oxidoreductase activity // flavin adenine dinucleotide binding</t>
  </si>
  <si>
    <t>100126017</t>
  </si>
  <si>
    <t>zgc:171802</t>
  </si>
  <si>
    <t>100136846</t>
  </si>
  <si>
    <t>zgc:172142</t>
  </si>
  <si>
    <t>798034</t>
  </si>
  <si>
    <t>zgc:172191</t>
  </si>
  <si>
    <t>100007373</t>
  </si>
  <si>
    <t>zgc:194659</t>
  </si>
  <si>
    <t>399488</t>
  </si>
  <si>
    <t>zgc:55813</t>
  </si>
  <si>
    <t>393285</t>
  </si>
  <si>
    <t>zgc:56306</t>
  </si>
  <si>
    <t>393460</t>
  </si>
  <si>
    <t>zgc:63759</t>
  </si>
  <si>
    <t>Zv9_NA996</t>
  </si>
  <si>
    <t>378866</t>
  </si>
  <si>
    <t>zgc:64114</t>
  </si>
  <si>
    <t>GO:0006915 // GO:0009968</t>
  </si>
  <si>
    <t>apoptosis // negative regulation of signal transduction</t>
  </si>
  <si>
    <t>431729</t>
  </si>
  <si>
    <t>zgc:91890</t>
  </si>
  <si>
    <t>436656</t>
  </si>
  <si>
    <t>zgc:92061</t>
  </si>
  <si>
    <t>436651</t>
  </si>
  <si>
    <t>zgc:92066</t>
  </si>
  <si>
    <t>436917</t>
  </si>
  <si>
    <t>zgc:92474</t>
  </si>
  <si>
    <t>570746</t>
  </si>
  <si>
    <t>zic2b</t>
  </si>
  <si>
    <t>zic family member 2 (odd-paired homolog, Drosophila) b</t>
  </si>
  <si>
    <t>571403</t>
  </si>
  <si>
    <t>znf395a</t>
  </si>
  <si>
    <t>zinc finger protein 395a</t>
  </si>
  <si>
    <t>566703</t>
  </si>
  <si>
    <t>znf395b</t>
  </si>
  <si>
    <t>zinc finger protein 395b</t>
  </si>
  <si>
    <t>777606</t>
  </si>
  <si>
    <t>znhit2</t>
  </si>
  <si>
    <t>zinc finger, HIT-type containing 2</t>
  </si>
  <si>
    <t>final RPKM
 WT uncut</t>
    <phoneticPr fontId="1"/>
  </si>
  <si>
    <t>final RPKM
WT cut</t>
    <phoneticPr fontId="1"/>
  </si>
  <si>
    <t>final RPKM
 clo cut</t>
    <phoneticPr fontId="1"/>
  </si>
  <si>
    <t>clo 6hpa final RPKM/WT 6hpa final RPKM</t>
    <phoneticPr fontId="1"/>
  </si>
  <si>
    <t>iron ion binding // oxidoreductase activity // oxidoreductase activity, acting on paired donors, with oxidation of a pair of donors resulting in the reduction of molecular oxygen to two molecules of water // heme binding</t>
    <phoneticPr fontId="1"/>
  </si>
  <si>
    <t>lyz</t>
  </si>
  <si>
    <t>lysozyme</t>
  </si>
  <si>
    <t>677744</t>
  </si>
  <si>
    <t>GO:0016998</t>
  </si>
  <si>
    <t>cell wall macromolecule catabolic process</t>
  </si>
  <si>
    <t>GO:0003796</t>
  </si>
  <si>
    <t>lysozyme activity</t>
  </si>
  <si>
    <t>alas2</t>
  </si>
  <si>
    <t>aminolevulinate, delta-, synthetase 2</t>
  </si>
  <si>
    <t>64607</t>
  </si>
  <si>
    <t>GO:0001666 // GO:0006778 // GO:0006783 // GO:0006783 // GO:0006783 // GO:0008152 // GO:0009058 // GO:0020027 // GO:0030218 // GO:0033014 // GO:0035162 // GO:0042541</t>
  </si>
  <si>
    <t>response to hypoxia // porphyrin-containing compound metabolic process // heme biosynthetic process // heme biosynthetic process // heme biosynthetic process // metabolic process // biosynthetic process // hemoglobin metabolic process // erythrocyte differentiation // tetrapyrrole biosynthetic process // embryonic hemopoiesis // hemoglobin biosynthetic process</t>
  </si>
  <si>
    <t>GO:0005739 // GO:0005743 // GO:0005759</t>
  </si>
  <si>
    <t>mitochondrion // mitochondrial inner membrane // mitochondrial matrix</t>
  </si>
  <si>
    <t>GO:0003824 // GO:0003870 // GO:0003870 // GO:0016740 // GO:0016746 // GO:0016769 // GO:0030170</t>
  </si>
  <si>
    <t>catalytic activity // 5-aminolevulinate synthase activity // 5-aminolevulinate synthase activity // transferase activity // transferase activity, transferring acyl groups // transferase activity, transferring nitrogenous groups // pyridoxal phosphate binding</t>
  </si>
  <si>
    <t>hbbe2</t>
  </si>
  <si>
    <t>hemoglobin beta embryonic-2</t>
  </si>
  <si>
    <t>405772</t>
  </si>
  <si>
    <t>GO:0006810 // GO:0015671</t>
  </si>
  <si>
    <t>transport // oxygen transport</t>
  </si>
  <si>
    <t>GO:0005833</t>
  </si>
  <si>
    <t>hemoglobin complex</t>
  </si>
  <si>
    <t>GO:0005344 // GO:0005506 // GO:0019825 // GO:0020037 // GO:0046872</t>
  </si>
  <si>
    <t>oxygen transporter activity // iron ion binding // oxygen binding // heme binding // metal ion binding</t>
  </si>
  <si>
    <t>hbae3</t>
  </si>
  <si>
    <t>hemoglobin alpha embryonic-3</t>
  </si>
  <si>
    <t>30601</t>
  </si>
  <si>
    <t>hbbe1.1</t>
  </si>
  <si>
    <t>hemoglobin beta embryonic-1.1</t>
  </si>
  <si>
    <t>81538</t>
  </si>
  <si>
    <t>si:busm1-118j2.5</t>
  </si>
  <si>
    <t>335781</t>
  </si>
  <si>
    <t>FAR340</t>
  </si>
  <si>
    <t>/</t>
  </si>
  <si>
    <t>hbae1</t>
  </si>
  <si>
    <t>hemoglobin alpha embryonic-1</t>
  </si>
  <si>
    <t>30597</t>
  </si>
  <si>
    <t>MGC173646</t>
  </si>
  <si>
    <t>similar to embryonic 1 beta-globin</t>
  </si>
  <si>
    <t>793447</t>
  </si>
  <si>
    <t>slc4a1a</t>
  </si>
  <si>
    <t>solute carrier family 4, anion exchanger, member 1a</t>
  </si>
  <si>
    <t>84703</t>
  </si>
  <si>
    <t>GO:0006810 // GO:0006820 // GO:0006820 // GO:0030218 // GO:0035162</t>
  </si>
  <si>
    <t>transport // anion transport // anion transport // erythrocyte differentiation // embryonic hemopoiesis</t>
  </si>
  <si>
    <t>GO:0005215 // GO:0005452 // GO:0005515 // GO:0008509</t>
  </si>
  <si>
    <t>transporter activity // inorganic anion exchanger activity // protein binding // anion transmembrane transporter activity</t>
  </si>
  <si>
    <t>cahz</t>
  </si>
  <si>
    <t>carbonic anhydrase</t>
  </si>
  <si>
    <t>30331</t>
  </si>
  <si>
    <t>GO:0006730 // GO:0015670 // GO:0015670 // GO:0042539</t>
  </si>
  <si>
    <t>one-carbon metabolic process // carbon dioxide transport // carbon dioxide transport // hypotonic salinity response</t>
  </si>
  <si>
    <t>GO:0004089 // GO:0004089 // GO:0004089 // GO:0008270 // GO:0016829 // GO:0046872</t>
  </si>
  <si>
    <t>carbonate dehydratase activity // carbonate dehydratase activity // carbonate dehydratase activity // zinc ion binding // lyase activity // metal ion binding</t>
  </si>
  <si>
    <t>FAR7776</t>
  </si>
  <si>
    <t>caspb</t>
  </si>
  <si>
    <t>caspase b</t>
  </si>
  <si>
    <t>259303</t>
  </si>
  <si>
    <t>GO:0006508 // GO:0006915 // GO:0043065</t>
  </si>
  <si>
    <t>proteolysis // apoptosis // positive regulation of apoptosis</t>
  </si>
  <si>
    <t>lgals1l1</t>
  </si>
  <si>
    <t>lectin, galactoside-binding, soluble, 1 (galectin 1)-like 1</t>
  </si>
  <si>
    <t>326706</t>
  </si>
  <si>
    <t>GO:0005529 // GO:0016936</t>
  </si>
  <si>
    <t>sugar binding // galactoside binding</t>
  </si>
  <si>
    <t>ca2</t>
  </si>
  <si>
    <t>carbonic anhydrase II</t>
  </si>
  <si>
    <t>387526</t>
  </si>
  <si>
    <t>GO:0006730 // GO:0006814 // GO:0006885 // GO:0015670 // GO:0015670 // GO:0042221 // GO:0042539</t>
  </si>
  <si>
    <t>one-carbon metabolic process // sodium ion transport // regulation of pH // carbon dioxide transport // carbon dioxide transport // response to chemical stimulus // hypotonic salinity response</t>
  </si>
  <si>
    <t>GO:0004089 // GO:0004089 // GO:0004089 // GO:0008270 // GO:0046872</t>
  </si>
  <si>
    <t>carbonate dehydratase activity // carbonate dehydratase activity // carbonate dehydratase activity // zinc ion binding // metal ion binding</t>
  </si>
  <si>
    <t>igfbp2a</t>
  </si>
  <si>
    <t>insulin-like growth factor binding protein 2a</t>
  </si>
  <si>
    <t>794176</t>
  </si>
  <si>
    <t>GO:0001525 // GO:0001558 // GO:0007275 // GO:0007507 // GO:0008156 // GO:0008285 // GO:0008285 // GO:0040007 // GO:0040008 // GO:0040015 // GO:0043567 // GO:0048640</t>
  </si>
  <si>
    <t>angiogenesis // regulation of cell growth // multicellular organismal development // heart development // negative regulation of DNA replication // negative regulation of cell proliferation // negative regulation of cell proliferation // growth // regulation of growth // negative regulation of multicellular organism growth // regulation of insulin-like growth factor receptor signaling pathway // negative regulation of developmental growth</t>
  </si>
  <si>
    <t>GO:0005520 // GO:0005520 // GO:0019838 // GO:0031994 // GO:0031995</t>
  </si>
  <si>
    <t>insulin-like growth factor binding // insulin-like growth factor binding // growth factor binding // insulin-like growth factor I binding // insulin-like growth factor II binding</t>
  </si>
  <si>
    <t>ankrd1b</t>
  </si>
  <si>
    <t>ankyrin repeat domain 1b (cardiac muscle)</t>
  </si>
  <si>
    <t>564159</t>
  </si>
  <si>
    <t>vsg1</t>
  </si>
  <si>
    <t>vessel-specific 1</t>
  </si>
  <si>
    <t>570276</t>
  </si>
  <si>
    <t>GO:0007219</t>
  </si>
  <si>
    <t>Notch signaling pathway</t>
  </si>
  <si>
    <t>acta1b</t>
  </si>
  <si>
    <t>actin, alpha 1b, skeletal muscle</t>
  </si>
  <si>
    <t>407658</t>
  </si>
  <si>
    <t>GO:0035050</t>
  </si>
  <si>
    <t>embryonic heart tube development</t>
  </si>
  <si>
    <t>zgc:63663</t>
  </si>
  <si>
    <t>393586</t>
  </si>
  <si>
    <t>zgc:92763</t>
  </si>
  <si>
    <t>436833</t>
  </si>
  <si>
    <t>GO:0015035</t>
  </si>
  <si>
    <t>protein disulfide oxidoreductase activity</t>
  </si>
  <si>
    <t>hbbe3</t>
  </si>
  <si>
    <t>hemoglobin beta embryonic-3</t>
  </si>
  <si>
    <t>30596</t>
  </si>
  <si>
    <t>nmnat1</t>
  </si>
  <si>
    <t>nicotinamide nucleotide adenylyltransferase 1</t>
  </si>
  <si>
    <t>550322</t>
  </si>
  <si>
    <t>GO:0009058 // GO:0009435</t>
  </si>
  <si>
    <t>biosynthetic process // NAD biosynthetic process</t>
  </si>
  <si>
    <t>GO:0005488 // GO:0016779</t>
  </si>
  <si>
    <t>binding // nucleotidyltransferase activity</t>
  </si>
  <si>
    <t>hadha</t>
  </si>
  <si>
    <t>hydroxyacyl-Coenzyme A dehydrogenase/3-ketoacyl-Coenzyme A thiolase/enoyl-Coenzyme A hydratase, alpha subunit</t>
  </si>
  <si>
    <t>553401</t>
  </si>
  <si>
    <t>GO:0006631 // GO:0006635 // GO:0008152 // GO:0009617 // GO:0055114</t>
  </si>
  <si>
    <t>fatty acid metabolic process // fatty acid beta-oxidation // metabolic process // response to bacterium // oxidation-reduction process</t>
  </si>
  <si>
    <t>GO:0005739 // GO:0016507</t>
  </si>
  <si>
    <t>mitochondrion // fatty acid beta-oxidation multienzyme complex</t>
  </si>
  <si>
    <t>GO:0000166 // GO:0003824 // GO:0003857 // GO:0004300 // GO:0016491 // GO:0016616 // GO:0050662</t>
  </si>
  <si>
    <t>nucleotide binding // catalytic activity // 3-hydroxyacyl-CoA dehydrogenase activity // enoyl-CoA hydratase activity // oxidoreductase activity // oxidoreductase activity, acting on the CH-OH group of donors, NAD or NADP as acceptor // coenzyme binding</t>
  </si>
  <si>
    <t>adss</t>
  </si>
  <si>
    <t>adenylosuccinate synthase</t>
  </si>
  <si>
    <t>550502</t>
  </si>
  <si>
    <t>GO:0006164</t>
  </si>
  <si>
    <t>purine nucleotide biosynthetic process</t>
  </si>
  <si>
    <t>GO:0000166 // GO:0000287 // GO:0004019 // GO:0005525 // GO:0016874 // GO:0046872</t>
  </si>
  <si>
    <t>nucleotide binding // magnesium ion binding // adenylosuccinate synthase activity // GTP binding // ligase activity // metal ion binding</t>
  </si>
  <si>
    <t>zgc:92631</t>
  </si>
  <si>
    <t>436968</t>
  </si>
  <si>
    <t>GO:0005739</t>
  </si>
  <si>
    <t>mitochondrion</t>
  </si>
  <si>
    <t>zgc:113054</t>
  </si>
  <si>
    <t>541322</t>
  </si>
  <si>
    <t>GO:0000166 // GO:0008171 // GO:0016491</t>
  </si>
  <si>
    <t>nucleotide binding // O-methyltransferase activity // oxidoreductase activity</t>
  </si>
  <si>
    <t>itgb1bp3</t>
  </si>
  <si>
    <t>integrin beta 1 binding protein 3</t>
  </si>
  <si>
    <t>447879</t>
  </si>
  <si>
    <t>GO:0007229</t>
  </si>
  <si>
    <t>integrin-mediated signaling pathway</t>
  </si>
  <si>
    <t>bcl2l13</t>
  </si>
  <si>
    <t>BCL2-like 13 (apoptosis facilitator)</t>
  </si>
  <si>
    <t>559355</t>
  </si>
  <si>
    <t>aqp8a.1</t>
  </si>
  <si>
    <t>aquaporin 8a, tandem duplicate 1</t>
  </si>
  <si>
    <t>447923</t>
  </si>
  <si>
    <t>GO:0006810 // GO:0006833 // GO:0055085 // GO:0071918</t>
  </si>
  <si>
    <t>transport // water transport // transmembrane transport // urea transmembrane transport</t>
  </si>
  <si>
    <t>GO:0005215 // GO:0005372 // GO:0015204</t>
  </si>
  <si>
    <t>transporter activity // water transmembrane transporter activity // urea transmembrane transporter activity</t>
  </si>
  <si>
    <t>calrl</t>
  </si>
  <si>
    <t>calreticulin like</t>
  </si>
  <si>
    <t>321315</t>
  </si>
  <si>
    <t>GO:0006457</t>
  </si>
  <si>
    <t>protein folding</t>
  </si>
  <si>
    <t>GO:0005783</t>
  </si>
  <si>
    <t>endoplasmic reticulum</t>
  </si>
  <si>
    <t>GO:0005509 // GO:0051082</t>
  </si>
  <si>
    <t>calcium ion binding // unfolded protein binding</t>
  </si>
  <si>
    <t>zgc:92902</t>
  </si>
  <si>
    <t>436735</t>
  </si>
  <si>
    <t>GO:0006470 // GO:0016311</t>
  </si>
  <si>
    <t>protein dephosphorylation // dephosphorylation</t>
  </si>
  <si>
    <t>GO:0004725 // GO:0008138 // GO:0016787 // GO:0016791</t>
  </si>
  <si>
    <t>protein tyrosine phosphatase activity // protein tyrosine/serine/threonine phosphatase activity // hydrolase activity // phosphatase activity</t>
  </si>
  <si>
    <t>abcf2</t>
  </si>
  <si>
    <t>ATP-binding cassette, sub-family F (GCN20), member 2</t>
  </si>
  <si>
    <t>336770</t>
  </si>
  <si>
    <t>GO:0000166 // GO:0005524 // GO:0016887 // GO:0017111</t>
  </si>
  <si>
    <t>nucleotide binding // ATP binding // ATPase activity // nucleoside-triphosphatase activity</t>
  </si>
  <si>
    <t>pdip5</t>
  </si>
  <si>
    <t>protein disulfide isomerase-related protein (provisional)</t>
  </si>
  <si>
    <t>322160</t>
  </si>
  <si>
    <t>GO:0006662 // GO:0045454</t>
  </si>
  <si>
    <t>glycerol ether metabolic process // cell redox homeostasis</t>
  </si>
  <si>
    <t>GO:0009055 // GO:0015035 // GO:0016853</t>
  </si>
  <si>
    <t>electron carrier activity // protein disulfide oxidoreductase activity // isomerase activity</t>
  </si>
  <si>
    <t>phkg1b</t>
  </si>
  <si>
    <t>phosphorylase kinase, gamma 1b (muscle)</t>
  </si>
  <si>
    <t>554046</t>
  </si>
  <si>
    <t>GO:0005978 // GO:0006468 // GO:0016310</t>
  </si>
  <si>
    <t>glycogen biosynthetic process // protein phosphorylation // phosphorylation</t>
  </si>
  <si>
    <t>GO:0005964</t>
  </si>
  <si>
    <t>phosphorylase kinase complex</t>
  </si>
  <si>
    <t>GO:0000166 // GO:0004672 // GO:0004674 // GO:0004689 // GO:0005516 // GO:0005524 // GO:0016301 // GO:0016740 // GO:0016772</t>
  </si>
  <si>
    <t>nucleotide binding // protein kinase activity // protein serine/threonine kinase activity // phosphorylase kinase activity // calmodulin binding // ATP binding // kinase activity // transferase activity // transferase activity, transferring phosphorus-containing groups</t>
  </si>
  <si>
    <t>agr2</t>
  </si>
  <si>
    <t>anterior gradient homolog 2 (Xenopus laevis)</t>
  </si>
  <si>
    <t>335616</t>
  </si>
  <si>
    <t>dnajb11</t>
  </si>
  <si>
    <t>DnaJ (Hsp40) homolog, subfamily B, member 11</t>
  </si>
  <si>
    <t>386709</t>
  </si>
  <si>
    <t>GO:0031072 // GO:0051082</t>
  </si>
  <si>
    <t>heat shock protein binding // unfolded protein binding</t>
  </si>
  <si>
    <t>zgc:136930</t>
  </si>
  <si>
    <t>563946</t>
  </si>
  <si>
    <t>fbp2</t>
  </si>
  <si>
    <t>fructose-1,6-bisphosphatase 2</t>
  </si>
  <si>
    <t>445505</t>
  </si>
  <si>
    <t>GO:0005975 // GO:0016311</t>
  </si>
  <si>
    <t>carbohydrate metabolic process // dephosphorylation</t>
  </si>
  <si>
    <t>GO:0016787 // GO:0042578</t>
  </si>
  <si>
    <t>hydrolase activity // phosphoric ester hydrolase activity</t>
  </si>
  <si>
    <t>rhbg</t>
  </si>
  <si>
    <t>Rhesus blood group, B glycoprotein</t>
  </si>
  <si>
    <t>337596</t>
  </si>
  <si>
    <t>GO:0006810 // GO:0015696 // GO:0015696</t>
  </si>
  <si>
    <t>transport // ammonium transport // ammonium transport</t>
  </si>
  <si>
    <t>GO:0005886 // GO:0016020 // GO:0016021 // GO:0016323 // GO:0030659 // GO:0031410</t>
  </si>
  <si>
    <t>plasma membrane // membrane // integral to membrane // basolateral plasma membrane // cytoplasmic vesicle membrane // cytoplasmic vesicle</t>
  </si>
  <si>
    <t>FAR1426</t>
  </si>
  <si>
    <t>pgp</t>
  </si>
  <si>
    <t>phosphoglycolate phosphatase</t>
  </si>
  <si>
    <t>792824</t>
  </si>
  <si>
    <t>GO:0003824 // GO:0016787 // GO:0016791</t>
  </si>
  <si>
    <t>catalytic activity // hydrolase activity // phosphatase activity</t>
  </si>
  <si>
    <t>acaa2</t>
  </si>
  <si>
    <t>acetyl-CoA acyltransferase 2</t>
  </si>
  <si>
    <t>406325</t>
  </si>
  <si>
    <t>GO:0003824 // GO:0016740 // GO:0016746 // GO:0016747</t>
  </si>
  <si>
    <t>catalytic activity // transferase activity // transferase activity, transferring acyl groups // transferase activity, transferring acyl groups other than amino-acyl groups</t>
  </si>
  <si>
    <t>ndufa4</t>
  </si>
  <si>
    <t>NADH dehydrogenase (ubiquinone) 1 alpha subcomplex, 4</t>
  </si>
  <si>
    <t>406298</t>
  </si>
  <si>
    <t>GO:0006810 // GO:0022900</t>
  </si>
  <si>
    <t>transport // electron transport chain</t>
  </si>
  <si>
    <t>GO:0005739 // GO:0005743 // GO:0016020 // GO:0070469</t>
  </si>
  <si>
    <t>mitochondrion // mitochondrial inner membrane // membrane // respiratory chain</t>
  </si>
  <si>
    <t>hadhb</t>
  </si>
  <si>
    <t>hydroxyacyl-Coenzyme A dehydrogenase/3-ketoacyl-Coenzyme A thiolase/enoyl-Coenzyme A hydratase (trifunctional protein), beta subunit</t>
  </si>
  <si>
    <t>336606</t>
  </si>
  <si>
    <t>Zv9_NA706</t>
  </si>
  <si>
    <t>kera</t>
  </si>
  <si>
    <t>keratocan</t>
  </si>
  <si>
    <t>567017</t>
  </si>
  <si>
    <t>ucp2</t>
  </si>
  <si>
    <t>uncoupling protein 2</t>
  </si>
  <si>
    <t>555812</t>
  </si>
  <si>
    <t>GO:0006810 // GO:0006839</t>
  </si>
  <si>
    <t>transport // mitochondrial transport</t>
  </si>
  <si>
    <t>tgm2</t>
  </si>
  <si>
    <t>transglutaminase 2, C polypeptide</t>
  </si>
  <si>
    <t>447909</t>
  </si>
  <si>
    <t>GO:0018149</t>
  </si>
  <si>
    <t>peptide cross-linking</t>
  </si>
  <si>
    <t>GO:0003810 // GO:0046872</t>
  </si>
  <si>
    <t>protein-glutamine gamma-glutamyltransferase activity // metal ion binding</t>
  </si>
  <si>
    <t>zgc:158138</t>
  </si>
  <si>
    <t>793834</t>
  </si>
  <si>
    <t>GO:0006631 // GO:0006635 // GO:0008152 // GO:0055114</t>
  </si>
  <si>
    <t>fatty acid metabolic process // fatty acid beta-oxidation // metabolic process // oxidation-reduction process</t>
  </si>
  <si>
    <t>ldha</t>
  </si>
  <si>
    <t>lactate dehydrogenase A4</t>
  </si>
  <si>
    <t>30496</t>
  </si>
  <si>
    <t>GO:0001666 // GO:0005975 // GO:0006096 // GO:0044262 // GO:0055114</t>
  </si>
  <si>
    <t>response to hypoxia // carbohydrate metabolic process // glycolysis // cellular carbohydrate metabolic process // oxidation-reduction process</t>
  </si>
  <si>
    <t>GO:0000166 // GO:0003824 // GO:0004459 // GO:0016491 // GO:0016616</t>
  </si>
  <si>
    <t>nucleotide binding // catalytic activity // L-lactate dehydrogenase activity // oxidoreductase activity // oxidoreductase activity, acting on the CH-OH group of donors, NAD or NADP as acceptor</t>
  </si>
  <si>
    <t>uchl3</t>
  </si>
  <si>
    <t>ubiquitin carboxyl-terminal esterase L3 (ubiquitin thiolesterase)</t>
  </si>
  <si>
    <t>554104</t>
  </si>
  <si>
    <t>GO:0006511 // GO:0007219</t>
  </si>
  <si>
    <t>ubiquitin-dependent protein catabolic process // Notch signaling pathway</t>
  </si>
  <si>
    <t>GO:0004221</t>
  </si>
  <si>
    <t>ubiquitin thiolesterase activity</t>
  </si>
  <si>
    <t>gygl</t>
  </si>
  <si>
    <t>glycogenin, like</t>
  </si>
  <si>
    <t>415152</t>
  </si>
  <si>
    <t>GO:0016757</t>
  </si>
  <si>
    <t>transferase activity, transferring glycosyl groups</t>
  </si>
  <si>
    <t>sdf2l1</t>
  </si>
  <si>
    <t>stromal cell-derived factor 2-like 1</t>
  </si>
  <si>
    <t>445275</t>
  </si>
  <si>
    <t>cndp2</t>
  </si>
  <si>
    <t>CNDP dipeptidase 2 (metallopeptidase M20 family)</t>
  </si>
  <si>
    <t>327288</t>
  </si>
  <si>
    <t>GO:0006508 // GO:0008152</t>
  </si>
  <si>
    <t>proteolysis // metabolic process</t>
  </si>
  <si>
    <t>GO:0008237 // GO:0016787 // GO:0016805 // GO:0034701</t>
  </si>
  <si>
    <t>metallopeptidase activity // hydrolase activity // dipeptidase activity // tripeptidase activity</t>
  </si>
  <si>
    <t>fkbp11</t>
  </si>
  <si>
    <t>FK506 binding protein 11</t>
  </si>
  <si>
    <t>368823</t>
  </si>
  <si>
    <t>GO:0006457 // GO:0018208 // GO:0042221</t>
  </si>
  <si>
    <t>protein folding // peptidyl-proline modification // response to chemical stimulus</t>
  </si>
  <si>
    <t>GO:0003755 // GO:0003755 // GO:0005528 // GO:0016853</t>
  </si>
  <si>
    <t>peptidyl-prolyl cis-trans isomerase activity // peptidyl-prolyl cis-trans isomerase activity // FK506 binding // isomerase activity</t>
  </si>
  <si>
    <t>gstm3</t>
  </si>
  <si>
    <t>glutathione S-transferase M3 (brain)</t>
  </si>
  <si>
    <t>568744</t>
  </si>
  <si>
    <t>GO:0004364 // GO:0016740</t>
  </si>
  <si>
    <t>glutathione transferase activity // transferase activity</t>
  </si>
  <si>
    <t>slc25a4</t>
  </si>
  <si>
    <t>solute carrier family 25 (mitochondrial carrier; adenine nucleotide translocator), member 4</t>
  </si>
  <si>
    <t>327067</t>
  </si>
  <si>
    <t>GO:0005743 // GO:0016020 // GO:0016021</t>
  </si>
  <si>
    <t>mitochondrial inner membrane // membrane // integral to membrane</t>
  </si>
  <si>
    <t>GO:0005215 // GO:0005488</t>
  </si>
  <si>
    <t>transporter activity // binding</t>
  </si>
  <si>
    <t>gb:cn833218</t>
  </si>
  <si>
    <t>expressed sequence CN833218</t>
  </si>
  <si>
    <t>100190888</t>
  </si>
  <si>
    <t>tomm40l</t>
  </si>
  <si>
    <t>translocase of outer mitochondrial membrane 40 homolog, like</t>
  </si>
  <si>
    <t>405895</t>
  </si>
  <si>
    <t>GO:0006820 // GO:0044070 // GO:0055085</t>
  </si>
  <si>
    <t>anion transport // regulation of anion transport // transmembrane transport</t>
  </si>
  <si>
    <t>GO:0005741</t>
  </si>
  <si>
    <t>mitochondrial outer membrane</t>
  </si>
  <si>
    <t>GO:0008308</t>
  </si>
  <si>
    <t>voltage-gated anion channel activity</t>
  </si>
  <si>
    <t>col17a1a</t>
  </si>
  <si>
    <t>collagen, type XVII, alpha 1a</t>
  </si>
  <si>
    <t>557257</t>
  </si>
  <si>
    <t>GO:0008544</t>
  </si>
  <si>
    <t>epidermis development</t>
  </si>
  <si>
    <t>GO:0005581</t>
  </si>
  <si>
    <t>collagen</t>
  </si>
  <si>
    <t>hsp90b1</t>
  </si>
  <si>
    <t>heat shock protein 90, beta (grp94), member 1</t>
  </si>
  <si>
    <t>386590</t>
  </si>
  <si>
    <t>GO:0006457 // GO:0006950 // GO:0035889</t>
  </si>
  <si>
    <t>protein folding // response to stress // otolith tethering</t>
  </si>
  <si>
    <t>GO:0005524 // GO:0051082</t>
  </si>
  <si>
    <t>ATP binding // unfolded protein binding</t>
  </si>
  <si>
    <t>gfm1</t>
  </si>
  <si>
    <t>G elongation factor, mitochondrial 1</t>
  </si>
  <si>
    <t>561840</t>
  </si>
  <si>
    <t>GO:0006184 // GO:0006412 // GO:0006414 // GO:0070125</t>
  </si>
  <si>
    <t>GTP catabolic process // translation // translational elongation // mitochondrial translational elongation</t>
  </si>
  <si>
    <t>GO:0005622 // GO:0005739</t>
  </si>
  <si>
    <t>intracellular // mitochondrion</t>
  </si>
  <si>
    <t>GO:0000166 // GO:0003746 // GO:0003746 // GO:0003924 // GO:0003924 // GO:0005525</t>
  </si>
  <si>
    <t>nucleotide binding // translation elongation factor activity // translation elongation factor activity // GTPase activity // GTPase activity // GTP binding</t>
  </si>
  <si>
    <t>adsl</t>
  </si>
  <si>
    <t>adenylosuccinate lyase</t>
  </si>
  <si>
    <t>334431</t>
  </si>
  <si>
    <t>GO:0009152</t>
  </si>
  <si>
    <t>purine ribonucleotide biosynthetic process</t>
  </si>
  <si>
    <t>GO:0003824 // GO:0004018 // GO:0016829</t>
  </si>
  <si>
    <t>catalytic activity // N6-(1,2-dicarboxyethyl)AMP AMP-lyase (fumarate-forming) activity // lyase activity</t>
  </si>
  <si>
    <t>FAR613</t>
  </si>
  <si>
    <t>samm50</t>
  </si>
  <si>
    <t>sorting and assembly machinery component 50 homolog (S. cerevisiae)</t>
  </si>
  <si>
    <t>393111</t>
  </si>
  <si>
    <t>GO:0005739 // GO:0005741 // GO:0016020 // GO:0016021 // GO:0019867</t>
  </si>
  <si>
    <t>mitochondrion // mitochondrial outer membrane // membrane // integral to membrane // outer membrane</t>
  </si>
  <si>
    <t>zgc:101581</t>
  </si>
  <si>
    <t>493617</t>
  </si>
  <si>
    <t>GO:0006412 // GO:0006413</t>
  </si>
  <si>
    <t>translation // translational initiation</t>
  </si>
  <si>
    <t>GO:0003723 // GO:0003743</t>
  </si>
  <si>
    <t>RNA binding // translation initiation factor activity</t>
  </si>
  <si>
    <t>fkbp7</t>
  </si>
  <si>
    <t>FK506 binding protein 7</t>
  </si>
  <si>
    <t>368498</t>
  </si>
  <si>
    <t>GO:0006457 // GO:0018208</t>
  </si>
  <si>
    <t>protein folding // peptidyl-proline modification</t>
  </si>
  <si>
    <t>GO:0005783 // GO:0016020</t>
  </si>
  <si>
    <t>endoplasmic reticulum // membrane</t>
  </si>
  <si>
    <t>GO:0003755 // GO:0005509 // GO:0005528</t>
  </si>
  <si>
    <t>peptidyl-prolyl cis-trans isomerase activity // calcium ion binding // FK506 binding</t>
  </si>
  <si>
    <t>rcn3</t>
  </si>
  <si>
    <t>reticulocalbin 3, EF-hand calcium binding domain</t>
  </si>
  <si>
    <t>415248</t>
  </si>
  <si>
    <t>tomm34</t>
  </si>
  <si>
    <t>translocase of outer mitochondrial membrane 34</t>
  </si>
  <si>
    <t>323361</t>
  </si>
  <si>
    <t>ptgesl</t>
  </si>
  <si>
    <t>prostaglandin E synthase 2-like</t>
  </si>
  <si>
    <t>799964</t>
  </si>
  <si>
    <t>GO:0001516 // GO:0006633 // GO:0008610 // GO:0045454</t>
  </si>
  <si>
    <t>prostaglandin biosynthetic process // fatty acid biosynthetic process // lipid biosynthetic process // cell redox homeostasis</t>
  </si>
  <si>
    <t>GO:0009055 // GO:0015035 // GO:0016853 // GO:0050220</t>
  </si>
  <si>
    <t>electron carrier activity // protein disulfide oxidoreductase activity // isomerase activity // prostaglandin-E synthase activity</t>
  </si>
  <si>
    <t>odc1</t>
  </si>
  <si>
    <t>ornithine decarboxylase 1</t>
  </si>
  <si>
    <t>114426</t>
  </si>
  <si>
    <t>GO:0006596 // GO:0042462</t>
  </si>
  <si>
    <t>polyamine biosynthetic process // eye photoreceptor cell development</t>
  </si>
  <si>
    <t>sult2st1</t>
  </si>
  <si>
    <t>sulfotransferase family 2, cytosolic sulfotransferase 1</t>
  </si>
  <si>
    <t>338214</t>
  </si>
  <si>
    <t>GO:0008146 // GO:0008146 // GO:0016740 // GO:0016783</t>
  </si>
  <si>
    <t>sulfotransferase activity // sulfotransferase activity // transferase activity // sulfurtransferase activity</t>
  </si>
  <si>
    <t>acadm</t>
  </si>
  <si>
    <t>acyl-Coenzyme A dehydrogenase, C-4 to C-12 straight chain</t>
  </si>
  <si>
    <t>406283</t>
  </si>
  <si>
    <t>GO:0008152 // GO:0008152 // GO:0055114 // GO:0055114</t>
  </si>
  <si>
    <t>metabolic process // metabolic process // oxidation-reduction process // oxidation-reduction process</t>
  </si>
  <si>
    <t>GO:0003995 // GO:0003995 // GO:0016491 // GO:0016491 // GO:0016627 // GO:0016627 // GO:0050660 // GO:0050660</t>
  </si>
  <si>
    <t>acyl-CoA dehydrogenase activity // acyl-CoA dehydrogenase activity // oxidoreductase activity // oxidoreductase activity // oxidoreductase activity, acting on the CH-CH group of donors // oxidoreductase activity, acting on the CH-CH group of donors // flavin adenine dinucleotide binding // flavin adenine dinucleotide binding</t>
  </si>
  <si>
    <t>rtn2a</t>
  </si>
  <si>
    <t>reticulon 2a</t>
  </si>
  <si>
    <t>569502</t>
  </si>
  <si>
    <t>hadh</t>
  </si>
  <si>
    <t>hydroxyacyl-Coenzyme A dehydrogenase</t>
  </si>
  <si>
    <t>445121</t>
  </si>
  <si>
    <t>GO:0006631 // GO:0055114</t>
  </si>
  <si>
    <t>fatty acid metabolic process // oxidation-reduction process</t>
  </si>
  <si>
    <t>GO:0000166 // GO:0003857 // GO:0016491 // GO:0016616 // GO:0050662 // GO:0070403</t>
  </si>
  <si>
    <t>nucleotide binding // 3-hydroxyacyl-CoA dehydrogenase activity // oxidoreductase activity // oxidoreductase activity, acting on the CH-OH group of donors, NAD or NADP as acceptor // coenzyme binding // NAD+ binding</t>
  </si>
  <si>
    <t>myhz1.1</t>
  </si>
  <si>
    <t>myosin, heavy polypeptide 1.1, skeletal muscle</t>
  </si>
  <si>
    <t>58142</t>
  </si>
  <si>
    <t>GO:0001757 // GO:0001757</t>
  </si>
  <si>
    <t>somite specification // somite specification</t>
  </si>
  <si>
    <t>GO:0016459 // GO:0016459 // GO:0032982 // GO:0032982</t>
  </si>
  <si>
    <t>myosin complex // myosin complex // myosin filament // myosin filament</t>
  </si>
  <si>
    <t>GO:0000166 // GO:0000166 // GO:0003774 // GO:0003774 // GO:0003779 // GO:0003779 // GO:0005524 // GO:0005524</t>
  </si>
  <si>
    <t>nucleotide binding // nucleotide binding // motor activity // motor activity // actin binding // actin binding // ATP binding // ATP binding</t>
  </si>
  <si>
    <t>tyms</t>
  </si>
  <si>
    <t>thymidylate synthase</t>
  </si>
  <si>
    <t>81540</t>
  </si>
  <si>
    <t>GO:0006231 // GO:0006231 // GO:0009165 // GO:0032259 // GO:0032259 // GO:0060041</t>
  </si>
  <si>
    <t>dTMP biosynthetic process // dTMP biosynthetic process // nucleotide biosynthetic process // methylation // methylation // retina development in camera-type eye</t>
  </si>
  <si>
    <t>GO:0004799 // GO:0004799 // GO:0008168 // GO:0016740 // GO:0042083</t>
  </si>
  <si>
    <t>thymidylate synthase activity // thymidylate synthase activity // methyltransferase activity // transferase activity // 5,10-methylenetetrahydrofolate-dependent methyltransferase activity</t>
  </si>
  <si>
    <t>adkb</t>
  </si>
  <si>
    <t>adenosine kinase b</t>
  </si>
  <si>
    <t>322229</t>
  </si>
  <si>
    <t>GO:0006166 // GO:0016310</t>
  </si>
  <si>
    <t>purine ribonucleoside salvage // phosphorylation</t>
  </si>
  <si>
    <t>GO:0004001 // GO:0016301 // GO:0016773</t>
  </si>
  <si>
    <t>adenosine kinase activity // kinase activity // phosphotransferase activity, alcohol group as acceptor</t>
  </si>
  <si>
    <t>pdia4</t>
  </si>
  <si>
    <t>protein disulfide isomerase associated 4</t>
  </si>
  <si>
    <t>554998</t>
  </si>
  <si>
    <t>GO:0003756 // GO:0009055 // GO:0015035 // GO:0016853</t>
  </si>
  <si>
    <t>protein disulfide isomerase activity // electron carrier activity // protein disulfide oxidoreductase activity // isomerase activity</t>
  </si>
  <si>
    <t>slc25a20</t>
  </si>
  <si>
    <t>solute carrier family 25 (carnitine/acylcarnitine translocase), member 20</t>
  </si>
  <si>
    <t>393833</t>
  </si>
  <si>
    <t>sae1</t>
  </si>
  <si>
    <t>SUMO1 activating enzyme subunit 1</t>
  </si>
  <si>
    <t>415148</t>
  </si>
  <si>
    <t>GO:0006464 // GO:0016925</t>
  </si>
  <si>
    <t>protein modification process // protein sumoylation</t>
  </si>
  <si>
    <t>GO:0000166 // GO:0003824 // GO:0008022 // GO:0008641 // GO:0016874 // GO:0019948</t>
  </si>
  <si>
    <t>nucleotide binding // catalytic activity // protein C-terminus binding // small protein activating enzyme activity // ligase activity // SUMO activating enzyme activity</t>
  </si>
  <si>
    <t>zgc:110680</t>
  </si>
  <si>
    <t>324900</t>
  </si>
  <si>
    <t>GO:0045454</t>
  </si>
  <si>
    <t>cell redox homeostasis</t>
  </si>
  <si>
    <t>srm</t>
  </si>
  <si>
    <t>spermidine synthase</t>
  </si>
  <si>
    <t>394009</t>
  </si>
  <si>
    <t>GO:0003824 // GO:0016740</t>
  </si>
  <si>
    <t>catalytic activity // transferase activity</t>
  </si>
  <si>
    <t>apex1</t>
  </si>
  <si>
    <t>APEX nuclease (multifunctional DNA repair enzyme) 1</t>
  </si>
  <si>
    <t>406730</t>
  </si>
  <si>
    <t>GO:0001947 // GO:0006281 // GO:0006974 // GO:0043066 // GO:0060047 // GO:0080111</t>
  </si>
  <si>
    <t>heart looping // DNA repair // response to DNA damage stimulus // negative regulation of apoptosis // heart contraction // DNA demethylation</t>
  </si>
  <si>
    <t>GO:0005622 // GO:0005634 // GO:0005730 // GO:0005737 // GO:0005739 // GO:0005783 // GO:0016607</t>
  </si>
  <si>
    <t>intracellular // nucleus // nucleolus // cytoplasm // mitochondrion // endoplasmic reticulum // nuclear speck</t>
  </si>
  <si>
    <t>GO:0003677 // GO:0003723 // GO:0003906 // GO:0004518 // GO:0004519 // GO:0016491 // GO:0016787 // GO:0016829 // GO:0046872</t>
  </si>
  <si>
    <t>DNA binding // RNA binding // DNA-(apurinic or apyrimidinic site) lyase activity // nuclease activity // endonuclease activity // oxidoreductase activity // hydrolase activity // lyase activity // metal ion binding</t>
  </si>
  <si>
    <t>psmd11b</t>
  </si>
  <si>
    <t>proteasome (prosome, macropain) 216S subunit, non-ATPase, 11b</t>
  </si>
  <si>
    <t>322265</t>
  </si>
  <si>
    <t>GO:0000502</t>
  </si>
  <si>
    <t>proteasome complex</t>
  </si>
  <si>
    <t>eif4e1c</t>
  </si>
  <si>
    <t>eukaryotic translation initiation factor 4E family member 1c</t>
  </si>
  <si>
    <t>550549</t>
  </si>
  <si>
    <t>ptges3b</t>
  </si>
  <si>
    <t>prostaglandin E synthase 3b (cytosolic)</t>
  </si>
  <si>
    <t>415227</t>
  </si>
  <si>
    <t>zgc:92139</t>
  </si>
  <si>
    <t>436628</t>
  </si>
  <si>
    <t>GO:0006508</t>
  </si>
  <si>
    <t>proteolysis</t>
  </si>
  <si>
    <t>GO:0004222 // GO:0008233 // GO:0008237 // GO:0016787 // GO:0046872</t>
  </si>
  <si>
    <t>metalloendopeptidase activity // peptidase activity // metallopeptidase activity // hydrolase activity // metal ion binding</t>
  </si>
  <si>
    <t>si:dkey-58f10.1</t>
  </si>
  <si>
    <t>553284</t>
  </si>
  <si>
    <t>GO:0006412</t>
  </si>
  <si>
    <t>translation</t>
  </si>
  <si>
    <t>GO:0005622 // GO:0005840 // GO:0015934</t>
  </si>
  <si>
    <t>intracellular // ribosome // large ribosomal subunit</t>
  </si>
  <si>
    <t>GO:0003723 // GO:0003735</t>
  </si>
  <si>
    <t>RNA binding // structural constituent of ribosome</t>
  </si>
  <si>
    <t>calr</t>
  </si>
  <si>
    <t>calreticulin</t>
  </si>
  <si>
    <t>30248</t>
  </si>
  <si>
    <t>urod</t>
  </si>
  <si>
    <t>uroporphyrinogen decarboxylase</t>
  </si>
  <si>
    <t>30617</t>
  </si>
  <si>
    <t>GO:0006778 // GO:0006779 // GO:0006783</t>
  </si>
  <si>
    <t>porphyrin-containing compound metabolic process // porphyrin-containing compound biosynthetic process // heme biosynthetic process</t>
  </si>
  <si>
    <t>GO:0004853 // GO:0004853 // GO:0016829 // GO:0016831</t>
  </si>
  <si>
    <t>uroporphyrinogen decarboxylase activity // uroporphyrinogen decarboxylase activity // lyase activity // carboxy-lyase activity</t>
  </si>
  <si>
    <t>decr1</t>
  </si>
  <si>
    <t>2,4-dienoyl CoA reductase 1, mitochondrial</t>
  </si>
  <si>
    <t>436717</t>
  </si>
  <si>
    <t>myhz1.2</t>
  </si>
  <si>
    <t>myosin, heavy polypeptide 1.2, skeletal muscle</t>
  </si>
  <si>
    <t>799300</t>
  </si>
  <si>
    <t>GO:0016459 // GO:0032982</t>
  </si>
  <si>
    <t>myosin complex // myosin filament</t>
  </si>
  <si>
    <t>GO:0000166 // GO:0003774 // GO:0003779 // GO:0005524</t>
  </si>
  <si>
    <t>nucleotide binding // motor activity // actin binding // ATP binding</t>
  </si>
  <si>
    <t>zgc:173594</t>
  </si>
  <si>
    <t>100126128</t>
  </si>
  <si>
    <t>hspa4a</t>
  </si>
  <si>
    <t>heat shock protein 4a</t>
  </si>
  <si>
    <t>335865</t>
  </si>
  <si>
    <t>FAR7161</t>
  </si>
  <si>
    <t>mcm6</t>
  </si>
  <si>
    <t>MCM6 minichromosome maintenance deficient 6, mitotin (S. cerevisiae)</t>
  </si>
  <si>
    <t>566409</t>
  </si>
  <si>
    <t>GO:0006200 // GO:0006260 // GO:0006270</t>
  </si>
  <si>
    <t>ATP catabolic process // DNA replication // DNA-dependent DNA replication initiation</t>
  </si>
  <si>
    <t>GO:0000166 // GO:0003677 // GO:0005524</t>
  </si>
  <si>
    <t>nucleotide binding // DNA binding // ATP binding</t>
  </si>
  <si>
    <t>wfdc1</t>
  </si>
  <si>
    <t>WAP four-disulfide core domain 1</t>
  </si>
  <si>
    <t>560860</t>
  </si>
  <si>
    <t>fen1</t>
  </si>
  <si>
    <t>flap structure-specific endonuclease 1</t>
  </si>
  <si>
    <t>386707</t>
  </si>
  <si>
    <t>GO:0006260 // GO:0006281 // GO:0006974 // GO:0060041</t>
  </si>
  <si>
    <t>DNA replication // DNA repair // response to DNA damage stimulus // retina development in camera-type eye</t>
  </si>
  <si>
    <t>GO:0005634 // GO:0005654 // GO:0005730 // GO:0005739</t>
  </si>
  <si>
    <t>nucleus // nucleoplasm // nucleolus // mitochondrion</t>
  </si>
  <si>
    <t>GO:0003677 // GO:0003824 // GO:0004518 // GO:0004519 // GO:0004527 // GO:0016787 // GO:0016788 // GO:0046872</t>
  </si>
  <si>
    <t>DNA binding // catalytic activity // nuclease activity // endonuclease activity // exonuclease activity // hydrolase activity // hydrolase activity, acting on ester bonds // metal ion binding</t>
  </si>
  <si>
    <r>
      <t xml:space="preserve">Supplementary File 1. The list of transcripts that are upregulated or downregulated in the amputated fin fold of the </t>
    </r>
    <r>
      <rPr>
        <b/>
        <i/>
        <sz val="14"/>
        <color theme="1"/>
        <rFont val="Arial"/>
        <family val="2"/>
      </rPr>
      <t>clo</t>
    </r>
    <r>
      <rPr>
        <b/>
        <sz val="14"/>
        <color theme="1"/>
        <rFont val="Arial"/>
        <family val="2"/>
      </rPr>
      <t xml:space="preserve"> mutant. </t>
    </r>
    <phoneticPr fontId="1"/>
  </si>
  <si>
    <r>
      <t xml:space="preserve">Supplementary File 1. The list of transcripts that are upregulated or downregulated in the amputated fin fold of the </t>
    </r>
    <r>
      <rPr>
        <b/>
        <i/>
        <sz val="14"/>
        <color theme="1"/>
        <rFont val="Arial"/>
        <family val="2"/>
      </rPr>
      <t>clo</t>
    </r>
    <r>
      <rPr>
        <b/>
        <sz val="14"/>
        <color theme="1"/>
        <rFont val="Arial"/>
        <family val="2"/>
      </rPr>
      <t xml:space="preserve"> mutant.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</si>
</sst>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14"/>
      <color theme="1"/>
      <name val="ＭＳ Ｐゴシック"/>
      <family val="3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Alignment="1">
      <alignment vertical="center" wrapText="1"/>
    </xf>
    <xf numFmtId="49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0" fontId="4" fillId="0" borderId="0" xfId="0" applyFont="1">
      <alignment vertical="center"/>
    </xf>
    <xf numFmtId="49" fontId="3" fillId="2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5" fillId="0" borderId="0" xfId="0" applyFont="1" applyFill="1">
      <alignment vertical="center"/>
    </xf>
    <xf numFmtId="176" fontId="3" fillId="0" borderId="2" xfId="0" applyNumberFormat="1" applyFont="1" applyFill="1" applyBorder="1" applyAlignment="1">
      <alignment vertical="center" wrapText="1"/>
    </xf>
    <xf numFmtId="49" fontId="0" fillId="0" borderId="0" xfId="0" applyNumberFormat="1">
      <alignment vertical="center"/>
    </xf>
    <xf numFmtId="176" fontId="0" fillId="4" borderId="0" xfId="0" applyNumberFormat="1" applyFill="1">
      <alignment vertical="center"/>
    </xf>
    <xf numFmtId="0" fontId="6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7" fillId="0" borderId="1" xfId="0" applyFont="1" applyFill="1" applyBorder="1">
      <alignment vertical="center"/>
    </xf>
    <xf numFmtId="0" fontId="0" fillId="0" borderId="1" xfId="0" applyBorder="1">
      <alignment vertical="center"/>
    </xf>
    <xf numFmtId="0" fontId="7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2"/>
  <sheetViews>
    <sheetView topLeftCell="A277" zoomScale="70" zoomScaleNormal="70" workbookViewId="0">
      <selection activeCell="J15" sqref="J15"/>
    </sheetView>
  </sheetViews>
  <sheetFormatPr defaultRowHeight="13.5" x14ac:dyDescent="0.15"/>
  <cols>
    <col min="1" max="1" width="14.125" style="1" customWidth="1"/>
    <col min="2" max="2" width="42.625" style="1" customWidth="1"/>
    <col min="3" max="3" width="9" style="1"/>
    <col min="4" max="8" width="6.125" style="1" customWidth="1"/>
    <col min="9" max="9" width="24.125" style="1" customWidth="1"/>
    <col min="10" max="10" width="12.125" style="1" customWidth="1"/>
    <col min="11" max="11" width="14.625" style="1" customWidth="1"/>
    <col min="12" max="14" width="9" style="1"/>
    <col min="15" max="15" width="8" style="1" customWidth="1"/>
    <col min="16" max="16384" width="9" style="1"/>
  </cols>
  <sheetData>
    <row r="1" spans="1:22" s="20" customFormat="1" ht="24" customHeight="1" x14ac:dyDescent="0.15">
      <c r="A1" s="26" t="s">
        <v>2159</v>
      </c>
      <c r="B1" s="25"/>
      <c r="C1" s="25"/>
      <c r="D1" s="25"/>
      <c r="E1" s="25"/>
      <c r="F1" s="25"/>
    </row>
    <row r="2" spans="1:22" s="2" customFormat="1" ht="105.75" customHeight="1" x14ac:dyDescent="0.15">
      <c r="A2" s="11" t="s">
        <v>2</v>
      </c>
      <c r="B2" s="11" t="s">
        <v>3</v>
      </c>
      <c r="C2" s="11" t="s">
        <v>0</v>
      </c>
      <c r="D2" s="12" t="s">
        <v>1</v>
      </c>
      <c r="E2" s="12" t="s">
        <v>1627</v>
      </c>
      <c r="F2" s="12" t="s">
        <v>1628</v>
      </c>
      <c r="G2" s="17" t="s">
        <v>1629</v>
      </c>
      <c r="H2" s="18" t="s">
        <v>1630</v>
      </c>
      <c r="I2" s="17" t="s">
        <v>4</v>
      </c>
      <c r="J2" s="17" t="s">
        <v>5</v>
      </c>
      <c r="K2" s="17" t="s">
        <v>6</v>
      </c>
      <c r="L2" s="17" t="s">
        <v>7</v>
      </c>
      <c r="M2" s="17" t="s">
        <v>8</v>
      </c>
      <c r="N2" s="17" t="s">
        <v>9</v>
      </c>
      <c r="O2" s="17" t="s">
        <v>10</v>
      </c>
      <c r="P2" s="19" t="s">
        <v>11</v>
      </c>
      <c r="Q2" s="19" t="s">
        <v>12</v>
      </c>
      <c r="R2" s="19" t="s">
        <v>13</v>
      </c>
      <c r="S2" s="19" t="s">
        <v>14</v>
      </c>
      <c r="T2" s="19" t="s">
        <v>15</v>
      </c>
      <c r="U2" s="19" t="s">
        <v>16</v>
      </c>
      <c r="V2" s="19" t="s">
        <v>17</v>
      </c>
    </row>
    <row r="3" spans="1:22" customFormat="1" x14ac:dyDescent="0.15">
      <c r="A3" s="3" t="s">
        <v>570</v>
      </c>
      <c r="B3" s="3" t="s">
        <v>571</v>
      </c>
      <c r="C3" s="3" t="s">
        <v>569</v>
      </c>
      <c r="D3" s="4">
        <v>1.6659999999999999</v>
      </c>
      <c r="E3" s="4">
        <v>0.56999999999999995</v>
      </c>
      <c r="F3" s="4">
        <v>0.59</v>
      </c>
      <c r="G3" s="4">
        <v>26.25</v>
      </c>
      <c r="H3" s="5">
        <f t="shared" ref="H3:H66" si="0">G3/F3</f>
        <v>44.491525423728817</v>
      </c>
      <c r="I3" s="6" t="str">
        <f>HYPERLINK("http://genome.ucsc.edu/cgi-bin/hgTracks?clade=vertebrate&amp;org=Zebrafish&amp;db=danRer7&amp;position=chr25:4189905-4205135","chr25:4189905-4205135")</f>
        <v>chr25:4189905-4205135</v>
      </c>
      <c r="J3" s="6" t="str">
        <f>HYPERLINK("http://www.ncbi.nlm.nih.gov/entrez/query.fcgi?db=gene&amp;cmd=Retrieve&amp;list_uids=140615","140615")</f>
        <v>140615</v>
      </c>
      <c r="K3" s="6" t="str">
        <f>HYPERLINK("http://www.ncbi.nlm.nih.gov/entrez/query.fcgi?cmd=Search&amp;db=Nucleotide&amp;term=NM_131645","NM_131645")</f>
        <v>NM_131645</v>
      </c>
      <c r="L3" s="4" t="s">
        <v>60</v>
      </c>
      <c r="M3" s="4">
        <v>4189905</v>
      </c>
      <c r="N3" s="4">
        <v>4205135</v>
      </c>
      <c r="O3" s="4" t="s">
        <v>19</v>
      </c>
      <c r="P3" s="3" t="s">
        <v>572</v>
      </c>
      <c r="Q3" s="3" t="s">
        <v>573</v>
      </c>
      <c r="R3" s="3" t="s">
        <v>104</v>
      </c>
      <c r="S3" s="3" t="s">
        <v>105</v>
      </c>
      <c r="T3" s="3" t="s">
        <v>574</v>
      </c>
      <c r="U3" s="3" t="s">
        <v>1631</v>
      </c>
      <c r="V3" s="4"/>
    </row>
    <row r="4" spans="1:22" customFormat="1" x14ac:dyDescent="0.15">
      <c r="A4" s="3" t="s">
        <v>909</v>
      </c>
      <c r="B4" s="3" t="s">
        <v>910</v>
      </c>
      <c r="C4" s="3" t="s">
        <v>908</v>
      </c>
      <c r="D4" s="4">
        <v>3.0110000000000001</v>
      </c>
      <c r="E4" s="4">
        <v>2.0499999999999998</v>
      </c>
      <c r="F4" s="4">
        <v>1.24</v>
      </c>
      <c r="G4" s="4">
        <v>49.76</v>
      </c>
      <c r="H4" s="5">
        <f t="shared" si="0"/>
        <v>40.129032258064512</v>
      </c>
      <c r="I4" s="6" t="str">
        <f>HYPERLINK("http://genome.ucsc.edu/cgi-bin/hgTracks?clade=vertebrate&amp;org=Zebrafish&amp;db=danRer7&amp;position=chr5:52659865-52678919","chr5:52659865-52678919")</f>
        <v>chr5:52659865-52678919</v>
      </c>
      <c r="J4" s="6" t="str">
        <f>HYPERLINK("http://www.ncbi.nlm.nih.gov/entrez/query.fcgi?db=gene&amp;cmd=Retrieve&amp;list_uids=796384","796384")</f>
        <v>796384</v>
      </c>
      <c r="K4" s="6" t="str">
        <f>HYPERLINK("http://www.ncbi.nlm.nih.gov/entrez/query.fcgi?cmd=Search&amp;db=Nucleotide&amp;term=NM_001126459","NM_001126459")</f>
        <v>NM_001126459</v>
      </c>
      <c r="L4" s="4" t="s">
        <v>29</v>
      </c>
      <c r="M4" s="4">
        <v>52659865</v>
      </c>
      <c r="N4" s="4">
        <v>52678919</v>
      </c>
      <c r="O4" s="4" t="s">
        <v>19</v>
      </c>
      <c r="P4" s="4"/>
      <c r="Q4" s="4"/>
      <c r="R4" s="4"/>
      <c r="S4" s="4"/>
      <c r="T4" s="4"/>
      <c r="U4" s="4"/>
      <c r="V4" s="4"/>
    </row>
    <row r="5" spans="1:22" customFormat="1" x14ac:dyDescent="0.15">
      <c r="A5" s="3" t="s">
        <v>1224</v>
      </c>
      <c r="B5" s="3" t="s">
        <v>1225</v>
      </c>
      <c r="C5" s="3" t="s">
        <v>1223</v>
      </c>
      <c r="D5" s="4">
        <v>1.2370000000000001</v>
      </c>
      <c r="E5" s="4">
        <v>0.19</v>
      </c>
      <c r="F5" s="4">
        <v>0.12</v>
      </c>
      <c r="G5" s="4">
        <v>4.8</v>
      </c>
      <c r="H5" s="5">
        <f t="shared" si="0"/>
        <v>40</v>
      </c>
      <c r="I5" s="6" t="str">
        <f>HYPERLINK("http://genome.ucsc.edu/cgi-bin/hgTracks?clade=vertebrate&amp;org=Zebrafish&amp;db=danRer7&amp;position=chr12:49689095-49697651","chr12:49689095-49697651")</f>
        <v>chr12:49689095-49697651</v>
      </c>
      <c r="J5" s="6" t="str">
        <f>HYPERLINK("http://www.ncbi.nlm.nih.gov/entrez/query.fcgi?db=gene&amp;cmd=Retrieve&amp;list_uids=386661","386661")</f>
        <v>386661</v>
      </c>
      <c r="K5" s="6" t="str">
        <f>HYPERLINK("http://www.ncbi.nlm.nih.gov/entrez/query.fcgi?cmd=Search&amp;db=Nucleotide&amp;term=NM_198815","NM_198815")</f>
        <v>NM_198815</v>
      </c>
      <c r="L5" s="4" t="s">
        <v>57</v>
      </c>
      <c r="M5" s="4">
        <v>49689095</v>
      </c>
      <c r="N5" s="4">
        <v>49697651</v>
      </c>
      <c r="O5" s="4" t="s">
        <v>23</v>
      </c>
      <c r="P5" s="3" t="s">
        <v>1226</v>
      </c>
      <c r="Q5" s="3" t="s">
        <v>1227</v>
      </c>
      <c r="R5" s="3" t="s">
        <v>871</v>
      </c>
      <c r="S5" s="3" t="s">
        <v>872</v>
      </c>
      <c r="T5" s="3" t="s">
        <v>1228</v>
      </c>
      <c r="U5" s="3" t="s">
        <v>1229</v>
      </c>
      <c r="V5" s="4"/>
    </row>
    <row r="6" spans="1:22" customFormat="1" x14ac:dyDescent="0.15">
      <c r="A6" s="3" t="s">
        <v>732</v>
      </c>
      <c r="B6" s="3" t="s">
        <v>733</v>
      </c>
      <c r="C6" s="3" t="s">
        <v>731</v>
      </c>
      <c r="D6" s="4">
        <v>3.895</v>
      </c>
      <c r="E6" s="4">
        <v>2.77</v>
      </c>
      <c r="F6" s="4">
        <v>1.73</v>
      </c>
      <c r="G6" s="4">
        <v>66.58</v>
      </c>
      <c r="H6" s="5">
        <f t="shared" si="0"/>
        <v>38.485549132947973</v>
      </c>
      <c r="I6" s="6" t="str">
        <f>HYPERLINK("http://genome.ucsc.edu/cgi-bin/hgTracks?clade=vertebrate&amp;org=Zebrafish&amp;db=danRer7&amp;position=chr5:52658957-52678922","chr5:52658957-52678922")</f>
        <v>chr5:52658957-52678922</v>
      </c>
      <c r="J6" s="6" t="str">
        <f>HYPERLINK("http://www.ncbi.nlm.nih.gov/entrez/query.fcgi?db=gene&amp;cmd=Retrieve&amp;list_uids=559054","559054")</f>
        <v>559054</v>
      </c>
      <c r="K6" s="6" t="str">
        <f>HYPERLINK("http://www.ncbi.nlm.nih.gov/entrez/query.fcgi?cmd=Search&amp;db=Nucleotide&amp;term=NM_001079977","NM_001079977")</f>
        <v>NM_001079977</v>
      </c>
      <c r="L6" s="4" t="s">
        <v>29</v>
      </c>
      <c r="M6" s="4">
        <v>52658957</v>
      </c>
      <c r="N6" s="4">
        <v>52678922</v>
      </c>
      <c r="O6" s="4" t="s">
        <v>19</v>
      </c>
      <c r="P6" s="3" t="s">
        <v>734</v>
      </c>
      <c r="Q6" s="3" t="s">
        <v>735</v>
      </c>
      <c r="R6" s="3" t="s">
        <v>736</v>
      </c>
      <c r="S6" s="3" t="s">
        <v>737</v>
      </c>
      <c r="T6" s="3" t="s">
        <v>738</v>
      </c>
      <c r="U6" s="3" t="s">
        <v>739</v>
      </c>
      <c r="V6" s="4"/>
    </row>
    <row r="7" spans="1:22" customFormat="1" x14ac:dyDescent="0.15">
      <c r="A7" s="3" t="s">
        <v>1207</v>
      </c>
      <c r="B7" s="3" t="s">
        <v>1208</v>
      </c>
      <c r="C7" s="3" t="s">
        <v>1206</v>
      </c>
      <c r="D7" s="4">
        <v>4.1829999999999998</v>
      </c>
      <c r="E7" s="4">
        <v>12.07</v>
      </c>
      <c r="F7" s="4">
        <v>6.63</v>
      </c>
      <c r="G7" s="4">
        <v>232.07</v>
      </c>
      <c r="H7" s="5">
        <f t="shared" si="0"/>
        <v>35.003016591251885</v>
      </c>
      <c r="I7" s="6" t="str">
        <f>HYPERLINK("http://genome.ucsc.edu/cgi-bin/hgTracks?clade=vertebrate&amp;org=Zebrafish&amp;db=danRer7&amp;position=chr1:19697855-19710041","chr1:19697855-19710041")</f>
        <v>chr1:19697855-19710041</v>
      </c>
      <c r="J7" s="6" t="str">
        <f>HYPERLINK("http://www.ncbi.nlm.nih.gov/entrez/query.fcgi?db=gene&amp;cmd=Retrieve&amp;list_uids=406662","406662")</f>
        <v>406662</v>
      </c>
      <c r="K7" s="6" t="str">
        <f>HYPERLINK("http://www.ncbi.nlm.nih.gov/entrez/query.fcgi?cmd=Search&amp;db=Nucleotide&amp;term=NM_213353","NM_213353")</f>
        <v>NM_213353</v>
      </c>
      <c r="L7" s="4" t="s">
        <v>63</v>
      </c>
      <c r="M7" s="4">
        <v>19697855</v>
      </c>
      <c r="N7" s="4">
        <v>19710041</v>
      </c>
      <c r="O7" s="4" t="s">
        <v>19</v>
      </c>
      <c r="P7" s="3" t="s">
        <v>375</v>
      </c>
      <c r="Q7" s="3" t="s">
        <v>376</v>
      </c>
      <c r="R7" s="3" t="s">
        <v>104</v>
      </c>
      <c r="S7" s="3" t="s">
        <v>105</v>
      </c>
      <c r="T7" s="3" t="s">
        <v>1209</v>
      </c>
      <c r="U7" s="3" t="s">
        <v>1210</v>
      </c>
      <c r="V7" s="4"/>
    </row>
    <row r="8" spans="1:22" customFormat="1" x14ac:dyDescent="0.15">
      <c r="A8" s="3" t="s">
        <v>470</v>
      </c>
      <c r="B8" s="3" t="s">
        <v>471</v>
      </c>
      <c r="C8" s="3" t="s">
        <v>469</v>
      </c>
      <c r="D8" s="4">
        <v>2.4289999999999998</v>
      </c>
      <c r="E8" s="4">
        <v>20.54</v>
      </c>
      <c r="F8" s="4">
        <v>10.29</v>
      </c>
      <c r="G8" s="4">
        <v>301.88</v>
      </c>
      <c r="H8" s="5">
        <f t="shared" si="0"/>
        <v>29.337220602526727</v>
      </c>
      <c r="I8" s="6" t="str">
        <f>HYPERLINK("http://genome.ucsc.edu/cgi-bin/hgTracks?clade=vertebrate&amp;org=Zebrafish&amp;db=danRer7&amp;position=chr19:577361-595879","chr19:577361-595879")</f>
        <v>chr19:577361-595879</v>
      </c>
      <c r="J8" s="6" t="str">
        <f>HYPERLINK("http://www.ncbi.nlm.nih.gov/entrez/query.fcgi?db=gene&amp;cmd=Retrieve&amp;list_uids=414331","414331")</f>
        <v>414331</v>
      </c>
      <c r="K8" s="6" t="str">
        <f>HYPERLINK("http://www.ncbi.nlm.nih.gov/entrez/query.fcgi?cmd=Search&amp;db=Nucleotide&amp;term=NM_001001730","NM_001001730")</f>
        <v>NM_001001730</v>
      </c>
      <c r="L8" s="4" t="s">
        <v>70</v>
      </c>
      <c r="M8" s="4">
        <v>577361</v>
      </c>
      <c r="N8" s="4">
        <v>595879</v>
      </c>
      <c r="O8" s="4" t="s">
        <v>19</v>
      </c>
      <c r="P8" s="3" t="s">
        <v>472</v>
      </c>
      <c r="Q8" s="3" t="s">
        <v>473</v>
      </c>
      <c r="R8" s="4"/>
      <c r="S8" s="4"/>
      <c r="T8" s="3" t="s">
        <v>474</v>
      </c>
      <c r="U8" s="3" t="s">
        <v>475</v>
      </c>
      <c r="V8" s="4"/>
    </row>
    <row r="9" spans="1:22" customFormat="1" x14ac:dyDescent="0.15">
      <c r="A9" s="3" t="s">
        <v>838</v>
      </c>
      <c r="B9" s="3" t="s">
        <v>839</v>
      </c>
      <c r="C9" s="3" t="s">
        <v>837</v>
      </c>
      <c r="D9" s="4">
        <v>1.143</v>
      </c>
      <c r="E9" s="4">
        <v>0.14000000000000001</v>
      </c>
      <c r="F9" s="4">
        <v>0.26</v>
      </c>
      <c r="G9" s="4">
        <v>7.36</v>
      </c>
      <c r="H9" s="5">
        <f t="shared" si="0"/>
        <v>28.307692307692307</v>
      </c>
      <c r="I9" s="6" t="str">
        <f>HYPERLINK("http://genome.ucsc.edu/cgi-bin/hgTracks?clade=vertebrate&amp;org=Zebrafish&amp;db=danRer7&amp;position=chr5:21895360-21896614","chr5:21895360-21896614")</f>
        <v>chr5:21895360-21896614</v>
      </c>
      <c r="J9" s="6" t="str">
        <f>HYPERLINK("http://www.ncbi.nlm.nih.gov/entrez/query.fcgi?db=gene&amp;cmd=Retrieve&amp;list_uids=558956","558956")</f>
        <v>558956</v>
      </c>
      <c r="K9" s="6" t="str">
        <f>HYPERLINK("http://www.ncbi.nlm.nih.gov/entrez/query.fcgi?cmd=Search&amp;db=Nucleotide&amp;term=NM_001204169","NM_001204169")</f>
        <v>NM_001204169</v>
      </c>
      <c r="L9" s="4" t="s">
        <v>29</v>
      </c>
      <c r="M9" s="4">
        <v>21895360</v>
      </c>
      <c r="N9" s="4">
        <v>21896614</v>
      </c>
      <c r="O9" s="4" t="s">
        <v>23</v>
      </c>
      <c r="P9" s="4"/>
      <c r="Q9" s="4"/>
      <c r="R9" s="4"/>
      <c r="S9" s="4"/>
      <c r="T9" s="4"/>
      <c r="U9" s="4"/>
      <c r="V9" s="4"/>
    </row>
    <row r="10" spans="1:22" customFormat="1" x14ac:dyDescent="0.15">
      <c r="A10" s="3" t="s">
        <v>1417</v>
      </c>
      <c r="B10" s="3" t="s">
        <v>1418</v>
      </c>
      <c r="C10" s="3" t="s">
        <v>1416</v>
      </c>
      <c r="D10" s="4">
        <v>3.3180000000000001</v>
      </c>
      <c r="E10" s="4">
        <v>7.04</v>
      </c>
      <c r="F10" s="4">
        <v>2.2599999999999998</v>
      </c>
      <c r="G10" s="4">
        <v>59.81</v>
      </c>
      <c r="H10" s="5">
        <f t="shared" si="0"/>
        <v>26.464601769911507</v>
      </c>
      <c r="I10" s="6" t="str">
        <f>HYPERLINK("http://genome.ucsc.edu/cgi-bin/hgTracks?clade=vertebrate&amp;org=Zebrafish&amp;db=danRer7&amp;position=chr10:27608357-27613869","chr10:27608357-27613869")</f>
        <v>chr10:27608357-27613869</v>
      </c>
      <c r="J10" s="6" t="str">
        <f>HYPERLINK("http://www.ncbi.nlm.nih.gov/entrez/query.fcgi?db=gene&amp;cmd=Retrieve&amp;list_uids=494054","494054")</f>
        <v>494054</v>
      </c>
      <c r="K10" s="6" t="str">
        <f>HYPERLINK("http://www.ncbi.nlm.nih.gov/entrez/query.fcgi?cmd=Search&amp;db=Nucleotide&amp;term=NM_001008597","NM_001008597")</f>
        <v>NM_001008597</v>
      </c>
      <c r="L10" s="4" t="s">
        <v>92</v>
      </c>
      <c r="M10" s="4">
        <v>27608357</v>
      </c>
      <c r="N10" s="4">
        <v>27613869</v>
      </c>
      <c r="O10" s="4" t="s">
        <v>23</v>
      </c>
      <c r="P10" s="3" t="s">
        <v>141</v>
      </c>
      <c r="Q10" s="3" t="s">
        <v>142</v>
      </c>
      <c r="R10" s="3" t="s">
        <v>81</v>
      </c>
      <c r="S10" s="3" t="s">
        <v>82</v>
      </c>
      <c r="T10" s="3" t="s">
        <v>1419</v>
      </c>
      <c r="U10" s="3" t="s">
        <v>1420</v>
      </c>
      <c r="V10" s="4"/>
    </row>
    <row r="11" spans="1:22" customFormat="1" x14ac:dyDescent="0.15">
      <c r="A11" s="3" t="s">
        <v>921</v>
      </c>
      <c r="B11" s="3" t="s">
        <v>922</v>
      </c>
      <c r="C11" s="3" t="s">
        <v>920</v>
      </c>
      <c r="D11" s="4">
        <v>5.4589999999999996</v>
      </c>
      <c r="E11" s="4">
        <v>3.07</v>
      </c>
      <c r="F11" s="4">
        <v>1.48</v>
      </c>
      <c r="G11" s="4">
        <v>35.19</v>
      </c>
      <c r="H11" s="5">
        <f t="shared" si="0"/>
        <v>23.777027027027025</v>
      </c>
      <c r="I11" s="6" t="str">
        <f>HYPERLINK("http://genome.ucsc.edu/cgi-bin/hgTracks?clade=vertebrate&amp;org=Zebrafish&amp;db=danRer7&amp;position=chr9:39534166-39552700","chr9:39534166-39552700")</f>
        <v>chr9:39534166-39552700</v>
      </c>
      <c r="J11" s="6" t="str">
        <f>HYPERLINK("http://www.ncbi.nlm.nih.gov/entrez/query.fcgi?db=gene&amp;cmd=Retrieve&amp;list_uids=795400","795400")</f>
        <v>795400</v>
      </c>
      <c r="K11" s="6" t="str">
        <f>HYPERLINK("http://www.ncbi.nlm.nih.gov/entrez/query.fcgi?cmd=Search&amp;db=Nucleotide&amp;term=NM_001083567","NM_001083567")</f>
        <v>NM_001083567</v>
      </c>
      <c r="L11" s="4" t="s">
        <v>22</v>
      </c>
      <c r="M11" s="4">
        <v>39534166</v>
      </c>
      <c r="N11" s="4">
        <v>39552700</v>
      </c>
      <c r="O11" s="4" t="s">
        <v>23</v>
      </c>
      <c r="P11" s="4"/>
      <c r="Q11" s="4"/>
      <c r="R11" s="4"/>
      <c r="S11" s="4"/>
      <c r="T11" s="3" t="s">
        <v>923</v>
      </c>
      <c r="U11" s="3" t="s">
        <v>924</v>
      </c>
      <c r="V11" s="4"/>
    </row>
    <row r="12" spans="1:22" customFormat="1" x14ac:dyDescent="0.15">
      <c r="A12" s="7" t="s">
        <v>792</v>
      </c>
      <c r="B12" s="3" t="s">
        <v>793</v>
      </c>
      <c r="C12" s="3" t="s">
        <v>791</v>
      </c>
      <c r="D12" s="4">
        <v>1.7470000000000001</v>
      </c>
      <c r="E12" s="4">
        <v>0.44</v>
      </c>
      <c r="F12" s="4">
        <v>1.18</v>
      </c>
      <c r="G12" s="4">
        <v>25.99</v>
      </c>
      <c r="H12" s="5">
        <f t="shared" si="0"/>
        <v>22.025423728813561</v>
      </c>
      <c r="I12" s="6" t="str">
        <f>HYPERLINK("http://genome.ucsc.edu/cgi-bin/hgTracks?clade=vertebrate&amp;org=Zebrafish&amp;db=danRer7&amp;position=chr10:46394748-46400871","chr10:46394748-46400871")</f>
        <v>chr10:46394748-46400871</v>
      </c>
      <c r="J12" s="6" t="str">
        <f>HYPERLINK("http://www.ncbi.nlm.nih.gov/entrez/query.fcgi?db=gene&amp;cmd=Retrieve&amp;list_uids=405770","405770")</f>
        <v>405770</v>
      </c>
      <c r="K12" s="6" t="str">
        <f>HYPERLINK("http://www.ncbi.nlm.nih.gov/entrez/query.fcgi?cmd=Search&amp;db=Nucleotide&amp;term=NM_212844","NM_212844")</f>
        <v>NM_212844</v>
      </c>
      <c r="L12" s="4" t="s">
        <v>92</v>
      </c>
      <c r="M12" s="4">
        <v>46394748</v>
      </c>
      <c r="N12" s="4">
        <v>46400871</v>
      </c>
      <c r="O12" s="4" t="s">
        <v>19</v>
      </c>
      <c r="P12" s="3" t="s">
        <v>794</v>
      </c>
      <c r="Q12" s="3" t="s">
        <v>795</v>
      </c>
      <c r="R12" s="3" t="s">
        <v>20</v>
      </c>
      <c r="S12" s="3" t="s">
        <v>21</v>
      </c>
      <c r="T12" s="3" t="s">
        <v>796</v>
      </c>
      <c r="U12" s="3" t="s">
        <v>797</v>
      </c>
      <c r="V12" s="4"/>
    </row>
    <row r="13" spans="1:22" customFormat="1" x14ac:dyDescent="0.15">
      <c r="A13" s="3" t="s">
        <v>1583</v>
      </c>
      <c r="B13" s="8" t="s">
        <v>1583</v>
      </c>
      <c r="C13" s="3" t="s">
        <v>1582</v>
      </c>
      <c r="D13" s="4">
        <v>5.2030000000000003</v>
      </c>
      <c r="E13" s="4">
        <v>7.73</v>
      </c>
      <c r="F13" s="4">
        <v>3.16</v>
      </c>
      <c r="G13" s="4">
        <v>57.69</v>
      </c>
      <c r="H13" s="5">
        <f t="shared" si="0"/>
        <v>18.25632911392405</v>
      </c>
      <c r="I13" s="6" t="str">
        <f>HYPERLINK("http://genome.ucsc.edu/cgi-bin/hgTracks?clade=vertebrate&amp;org=Zebrafish&amp;db=danRer7&amp;position=chr16:46192801-46205093","chr16:46192801-46205093")</f>
        <v>chr16:46192801-46205093</v>
      </c>
      <c r="J13" s="6" t="str">
        <f>HYPERLINK("http://www.ncbi.nlm.nih.gov/entrez/query.fcgi?db=gene&amp;cmd=Retrieve&amp;list_uids=799528","799528")</f>
        <v>799528</v>
      </c>
      <c r="K13" s="6" t="str">
        <f>HYPERLINK("http://www.ncbi.nlm.nih.gov/entrez/query.fcgi?cmd=Search&amp;db=Nucleotide&amp;term=NM_001110039","NM_001110039")</f>
        <v>NM_001110039</v>
      </c>
      <c r="L13" s="4" t="s">
        <v>71</v>
      </c>
      <c r="M13" s="4">
        <v>46192801</v>
      </c>
      <c r="N13" s="4">
        <v>46205093</v>
      </c>
      <c r="O13" s="4" t="s">
        <v>19</v>
      </c>
      <c r="P13" s="3" t="s">
        <v>1584</v>
      </c>
      <c r="Q13" s="3" t="s">
        <v>1585</v>
      </c>
      <c r="R13" s="3" t="s">
        <v>39</v>
      </c>
      <c r="S13" s="3" t="s">
        <v>40</v>
      </c>
      <c r="T13" s="3" t="s">
        <v>1586</v>
      </c>
      <c r="U13" s="3" t="s">
        <v>1587</v>
      </c>
      <c r="V13" s="4"/>
    </row>
    <row r="14" spans="1:22" customFormat="1" x14ac:dyDescent="0.15">
      <c r="A14" s="3" t="s">
        <v>527</v>
      </c>
      <c r="B14" s="8" t="s">
        <v>528</v>
      </c>
      <c r="C14" s="3" t="s">
        <v>526</v>
      </c>
      <c r="D14" s="4">
        <v>1.365</v>
      </c>
      <c r="E14" s="4">
        <v>8.7100000000000009</v>
      </c>
      <c r="F14" s="4">
        <v>3.78</v>
      </c>
      <c r="G14" s="4">
        <v>68.72</v>
      </c>
      <c r="H14" s="5">
        <f t="shared" si="0"/>
        <v>18.17989417989418</v>
      </c>
      <c r="I14" s="6" t="str">
        <f>HYPERLINK("http://genome.ucsc.edu/cgi-bin/hgTracks?clade=vertebrate&amp;org=Zebrafish&amp;db=danRer7&amp;position=chr23:19436610-19441822","chr23:19436610-19441822")</f>
        <v>chr23:19436610-19441822</v>
      </c>
      <c r="J14" s="6" t="str">
        <f>HYPERLINK("http://www.ncbi.nlm.nih.gov/entrez/query.fcgi?db=gene&amp;cmd=Retrieve&amp;list_uids=436600","436600")</f>
        <v>436600</v>
      </c>
      <c r="K14" s="6" t="str">
        <f>HYPERLINK("http://www.ncbi.nlm.nih.gov/entrez/query.fcgi?cmd=Search&amp;db=Nucleotide&amp;term=NM_001002328","NM_001002328")</f>
        <v>NM_001002328</v>
      </c>
      <c r="L14" s="4" t="s">
        <v>80</v>
      </c>
      <c r="M14" s="4">
        <v>19436610</v>
      </c>
      <c r="N14" s="4">
        <v>19441822</v>
      </c>
      <c r="O14" s="4" t="s">
        <v>19</v>
      </c>
      <c r="P14" s="3" t="s">
        <v>529</v>
      </c>
      <c r="Q14" s="3" t="s">
        <v>530</v>
      </c>
      <c r="R14" s="3" t="s">
        <v>281</v>
      </c>
      <c r="S14" s="3" t="s">
        <v>282</v>
      </c>
      <c r="T14" s="3" t="s">
        <v>531</v>
      </c>
      <c r="U14" s="3" t="s">
        <v>532</v>
      </c>
      <c r="V14" s="4"/>
    </row>
    <row r="15" spans="1:22" customFormat="1" x14ac:dyDescent="0.15">
      <c r="A15" s="3" t="s">
        <v>511</v>
      </c>
      <c r="B15" s="8" t="s">
        <v>512</v>
      </c>
      <c r="C15" s="3" t="s">
        <v>510</v>
      </c>
      <c r="D15" s="4">
        <v>3.3719999999999999</v>
      </c>
      <c r="E15" s="4">
        <v>3.39</v>
      </c>
      <c r="F15" s="4">
        <v>1.63</v>
      </c>
      <c r="G15" s="4">
        <v>25.2</v>
      </c>
      <c r="H15" s="5">
        <f t="shared" si="0"/>
        <v>15.460122699386504</v>
      </c>
      <c r="I15" s="6" t="str">
        <f>HYPERLINK("http://genome.ucsc.edu/cgi-bin/hgTracks?clade=vertebrate&amp;org=Zebrafish&amp;db=danRer7&amp;position=chr20:7323828-7351538","chr20:7323828-7351538")</f>
        <v>chr20:7323828-7351538</v>
      </c>
      <c r="J15" s="6" t="str">
        <f>HYPERLINK("http://www.ncbi.nlm.nih.gov/entrez/query.fcgi?db=gene&amp;cmd=Retrieve&amp;list_uids=494102","494102")</f>
        <v>494102</v>
      </c>
      <c r="K15" s="6" t="str">
        <f>HYPERLINK("http://www.ncbi.nlm.nih.gov/entrez/query.fcgi?cmd=Search&amp;db=Nucleotide&amp;term=NM_001008645","NM_001008645")</f>
        <v>NM_001008645</v>
      </c>
      <c r="L15" s="4" t="s">
        <v>96</v>
      </c>
      <c r="M15" s="4">
        <v>7323828</v>
      </c>
      <c r="N15" s="4">
        <v>7351538</v>
      </c>
      <c r="O15" s="4" t="s">
        <v>19</v>
      </c>
      <c r="P15" s="3" t="s">
        <v>141</v>
      </c>
      <c r="Q15" s="3" t="s">
        <v>142</v>
      </c>
      <c r="R15" s="4"/>
      <c r="S15" s="4"/>
      <c r="T15" s="3" t="s">
        <v>157</v>
      </c>
      <c r="U15" s="3" t="s">
        <v>158</v>
      </c>
      <c r="V15" s="4"/>
    </row>
    <row r="16" spans="1:22" customFormat="1" x14ac:dyDescent="0.15">
      <c r="A16" s="3" t="s">
        <v>1549</v>
      </c>
      <c r="B16" s="8" t="s">
        <v>1549</v>
      </c>
      <c r="C16" s="3" t="s">
        <v>1548</v>
      </c>
      <c r="D16" s="4">
        <v>4.1059999999999999</v>
      </c>
      <c r="E16" s="4">
        <v>1.81</v>
      </c>
      <c r="F16" s="4">
        <v>1.64</v>
      </c>
      <c r="G16" s="4">
        <v>25.26</v>
      </c>
      <c r="H16" s="5">
        <f t="shared" si="0"/>
        <v>15.402439024390246</v>
      </c>
      <c r="I16" s="6" t="str">
        <f>HYPERLINK("http://genome.ucsc.edu/cgi-bin/hgTracks?clade=vertebrate&amp;org=Zebrafish&amp;db=danRer7&amp;position=chr3:62823449-62830555","chr3:62823449-62830555")</f>
        <v>chr3:62823449-62830555</v>
      </c>
      <c r="J16" s="6" t="str">
        <f>HYPERLINK("http://www.ncbi.nlm.nih.gov/entrez/query.fcgi?db=gene&amp;cmd=Retrieve&amp;list_uids=572245","572245")</f>
        <v>572245</v>
      </c>
      <c r="K16" s="6" t="str">
        <f>HYPERLINK("http://www.ncbi.nlm.nih.gov/entrez/query.fcgi?cmd=Search&amp;db=Nucleotide&amp;term=NM_001077584","NM_001077584")</f>
        <v>NM_001077584</v>
      </c>
      <c r="L16" s="4" t="s">
        <v>47</v>
      </c>
      <c r="M16" s="4">
        <v>62823449</v>
      </c>
      <c r="N16" s="4">
        <v>62830555</v>
      </c>
      <c r="O16" s="4" t="s">
        <v>23</v>
      </c>
      <c r="P16" s="3" t="s">
        <v>435</v>
      </c>
      <c r="Q16" s="3" t="s">
        <v>436</v>
      </c>
      <c r="R16" s="3" t="s">
        <v>67</v>
      </c>
      <c r="S16" s="3" t="s">
        <v>68</v>
      </c>
      <c r="T16" s="3" t="s">
        <v>1022</v>
      </c>
      <c r="U16" s="3" t="s">
        <v>1023</v>
      </c>
      <c r="V16" s="4"/>
    </row>
    <row r="17" spans="1:22" customFormat="1" x14ac:dyDescent="0.15">
      <c r="A17" s="3" t="s">
        <v>1500</v>
      </c>
      <c r="B17" s="8" t="s">
        <v>1500</v>
      </c>
      <c r="C17" s="3" t="s">
        <v>1499</v>
      </c>
      <c r="D17" s="4">
        <v>1.1759999999999999</v>
      </c>
      <c r="E17" s="4">
        <v>6.98</v>
      </c>
      <c r="F17" s="4">
        <v>3.6</v>
      </c>
      <c r="G17" s="4">
        <v>53.83</v>
      </c>
      <c r="H17" s="5">
        <f t="shared" si="0"/>
        <v>14.952777777777778</v>
      </c>
      <c r="I17" s="6" t="str">
        <f>HYPERLINK("http://genome.ucsc.edu/cgi-bin/hgTracks?clade=vertebrate&amp;org=Zebrafish&amp;db=danRer7&amp;position=chr11:11190352-11201629","chr11:11190352-11201629")</f>
        <v>chr11:11190352-11201629</v>
      </c>
      <c r="J17" s="6" t="str">
        <f>HYPERLINK("http://www.ncbi.nlm.nih.gov/entrez/query.fcgi?db=gene&amp;cmd=Retrieve&amp;list_uids=492781","492781")</f>
        <v>492781</v>
      </c>
      <c r="K17" s="6" t="str">
        <f>HYPERLINK("http://www.ncbi.nlm.nih.gov/entrez/query.fcgi?cmd=Search&amp;db=Nucleotide&amp;term=NM_001007422","NM_001007422")</f>
        <v>NM_001007422</v>
      </c>
      <c r="L17" s="4" t="s">
        <v>36</v>
      </c>
      <c r="M17" s="4">
        <v>11190352</v>
      </c>
      <c r="N17" s="4">
        <v>11201629</v>
      </c>
      <c r="O17" s="4" t="s">
        <v>19</v>
      </c>
      <c r="P17" s="3" t="s">
        <v>1501</v>
      </c>
      <c r="Q17" s="3" t="s">
        <v>1502</v>
      </c>
      <c r="R17" s="3" t="s">
        <v>67</v>
      </c>
      <c r="S17" s="3" t="s">
        <v>68</v>
      </c>
      <c r="T17" s="3" t="s">
        <v>1503</v>
      </c>
      <c r="U17" s="3" t="s">
        <v>1504</v>
      </c>
      <c r="V17" s="4"/>
    </row>
    <row r="18" spans="1:22" customFormat="1" x14ac:dyDescent="0.15">
      <c r="A18" s="3" t="s">
        <v>822</v>
      </c>
      <c r="B18" s="8" t="s">
        <v>823</v>
      </c>
      <c r="C18" s="3" t="s">
        <v>821</v>
      </c>
      <c r="D18" s="4">
        <v>7.141</v>
      </c>
      <c r="E18" s="4">
        <v>10.74</v>
      </c>
      <c r="F18" s="4">
        <v>5.48</v>
      </c>
      <c r="G18" s="4">
        <v>75.41</v>
      </c>
      <c r="H18" s="5">
        <f t="shared" si="0"/>
        <v>13.760948905109487</v>
      </c>
      <c r="I18" s="6" t="str">
        <f>HYPERLINK("http://genome.ucsc.edu/cgi-bin/hgTracks?clade=vertebrate&amp;org=Zebrafish&amp;db=danRer7&amp;position=chr7:43738992-43744365","chr7:43738992-43744365")</f>
        <v>chr7:43738992-43744365</v>
      </c>
      <c r="J18" s="6" t="str">
        <f>HYPERLINK("http://www.ncbi.nlm.nih.gov/entrez/query.fcgi?db=gene&amp;cmd=Retrieve&amp;list_uids=334189","334189")</f>
        <v>334189</v>
      </c>
      <c r="K18" s="6" t="str">
        <f>HYPERLINK("http://www.ncbi.nlm.nih.gov/entrez/query.fcgi?cmd=Search&amp;db=Nucleotide&amp;term=NM_199869","NM_199869")</f>
        <v>NM_199869</v>
      </c>
      <c r="L18" s="4" t="s">
        <v>85</v>
      </c>
      <c r="M18" s="4">
        <v>43738992</v>
      </c>
      <c r="N18" s="4">
        <v>43744365</v>
      </c>
      <c r="O18" s="4" t="s">
        <v>19</v>
      </c>
      <c r="P18" s="3" t="s">
        <v>824</v>
      </c>
      <c r="Q18" s="3" t="s">
        <v>825</v>
      </c>
      <c r="R18" s="3" t="s">
        <v>104</v>
      </c>
      <c r="S18" s="3" t="s">
        <v>105</v>
      </c>
      <c r="T18" s="4"/>
      <c r="U18" s="4"/>
      <c r="V18" s="4"/>
    </row>
    <row r="19" spans="1:22" customFormat="1" x14ac:dyDescent="0.15">
      <c r="A19" s="3" t="s">
        <v>514</v>
      </c>
      <c r="B19" s="8" t="s">
        <v>515</v>
      </c>
      <c r="C19" s="3" t="s">
        <v>513</v>
      </c>
      <c r="D19" s="4">
        <v>2.7050000000000001</v>
      </c>
      <c r="E19" s="4">
        <v>5.93</v>
      </c>
      <c r="F19" s="4">
        <v>3.2</v>
      </c>
      <c r="G19" s="4">
        <v>43.09</v>
      </c>
      <c r="H19" s="5">
        <f t="shared" si="0"/>
        <v>13.465625000000001</v>
      </c>
      <c r="I19" s="6" t="str">
        <f>HYPERLINK("http://genome.ucsc.edu/cgi-bin/hgTracks?clade=vertebrate&amp;org=Zebrafish&amp;db=danRer7&amp;position=chr2:27968539-27989075","chr2:27968539-27989075")</f>
        <v>chr2:27968539-27989075</v>
      </c>
      <c r="J19" s="6" t="str">
        <f>HYPERLINK("http://www.ncbi.nlm.nih.gov/entrez/query.fcgi?db=gene&amp;cmd=Retrieve&amp;list_uids=378446","378446")</f>
        <v>378446</v>
      </c>
      <c r="K19" s="6" t="str">
        <f>HYPERLINK("http://www.ncbi.nlm.nih.gov/entrez/query.fcgi?cmd=Search&amp;db=Nucleotide&amp;term=NM_201330","NM_201330")</f>
        <v>NM_201330</v>
      </c>
      <c r="L19" s="4" t="s">
        <v>79</v>
      </c>
      <c r="M19" s="4">
        <v>27968539</v>
      </c>
      <c r="N19" s="4">
        <v>27989075</v>
      </c>
      <c r="O19" s="4" t="s">
        <v>19</v>
      </c>
      <c r="P19" s="3" t="s">
        <v>516</v>
      </c>
      <c r="Q19" s="3" t="s">
        <v>517</v>
      </c>
      <c r="R19" s="3" t="s">
        <v>104</v>
      </c>
      <c r="S19" s="3" t="s">
        <v>105</v>
      </c>
      <c r="T19" s="3" t="s">
        <v>518</v>
      </c>
      <c r="U19" s="3" t="s">
        <v>519</v>
      </c>
      <c r="V19" s="4"/>
    </row>
    <row r="20" spans="1:22" customFormat="1" x14ac:dyDescent="0.15">
      <c r="A20" s="3" t="s">
        <v>149</v>
      </c>
      <c r="B20" s="8" t="s">
        <v>150</v>
      </c>
      <c r="C20" s="3" t="s">
        <v>148</v>
      </c>
      <c r="D20" s="4">
        <v>4.5709999999999997</v>
      </c>
      <c r="E20" s="4">
        <v>1.05</v>
      </c>
      <c r="F20" s="4">
        <v>0.49</v>
      </c>
      <c r="G20" s="4">
        <v>6.51</v>
      </c>
      <c r="H20" s="5">
        <f t="shared" si="0"/>
        <v>13.285714285714285</v>
      </c>
      <c r="I20" s="6" t="str">
        <f>HYPERLINK("http://genome.ucsc.edu/cgi-bin/hgTracks?clade=vertebrate&amp;org=Zebrafish&amp;db=danRer7&amp;position=chr4:8942883-8954065","chr4:8942883-8954065")</f>
        <v>chr4:8942883-8954065</v>
      </c>
      <c r="J20" s="6" t="str">
        <f>HYPERLINK("http://www.ncbi.nlm.nih.gov/entrez/query.fcgi?db=gene&amp;cmd=Retrieve&amp;list_uids=403114","403114")</f>
        <v>403114</v>
      </c>
      <c r="K20" s="6" t="str">
        <f>HYPERLINK("http://www.ncbi.nlm.nih.gov/entrez/query.fcgi?cmd=Search&amp;db=Nucleotide&amp;term=NM_001130135","NM_001130135")</f>
        <v>NM_001130135</v>
      </c>
      <c r="L20" s="4" t="s">
        <v>77</v>
      </c>
      <c r="M20" s="4">
        <v>8942883</v>
      </c>
      <c r="N20" s="4">
        <v>8954065</v>
      </c>
      <c r="O20" s="4" t="s">
        <v>19</v>
      </c>
      <c r="P20" s="4"/>
      <c r="Q20" s="4"/>
      <c r="R20" s="3" t="s">
        <v>115</v>
      </c>
      <c r="S20" s="3" t="s">
        <v>116</v>
      </c>
      <c r="T20" s="3" t="s">
        <v>139</v>
      </c>
      <c r="U20" s="3" t="s">
        <v>140</v>
      </c>
      <c r="V20" s="4"/>
    </row>
    <row r="21" spans="1:22" customFormat="1" x14ac:dyDescent="0.15">
      <c r="A21" s="3" t="s">
        <v>583</v>
      </c>
      <c r="B21" s="8" t="s">
        <v>584</v>
      </c>
      <c r="C21" s="3" t="s">
        <v>582</v>
      </c>
      <c r="D21" s="4">
        <v>5.4850000000000003</v>
      </c>
      <c r="E21" s="4">
        <v>27.86</v>
      </c>
      <c r="F21" s="4">
        <v>18.97</v>
      </c>
      <c r="G21" s="4">
        <v>227.21</v>
      </c>
      <c r="H21" s="5">
        <f t="shared" si="0"/>
        <v>11.977332630469164</v>
      </c>
      <c r="I21" s="6" t="str">
        <f>HYPERLINK("http://genome.ucsc.edu/cgi-bin/hgTracks?clade=vertebrate&amp;org=Zebrafish&amp;db=danRer7&amp;position=chr16:15775161-15787891","chr16:15775161-15787891")</f>
        <v>chr16:15775161-15787891</v>
      </c>
      <c r="J21" s="6" t="str">
        <f>HYPERLINK("http://www.ncbi.nlm.nih.gov/entrez/query.fcgi?db=gene&amp;cmd=Retrieve&amp;list_uids=552997","552997")</f>
        <v>552997</v>
      </c>
      <c r="K21" s="6" t="str">
        <f>HYPERLINK("http://www.ncbi.nlm.nih.gov/entrez/query.fcgi?cmd=Search&amp;db=Nucleotide&amp;term=NM_001025471","NM_001025471")</f>
        <v>NM_001025471</v>
      </c>
      <c r="L21" s="4" t="s">
        <v>71</v>
      </c>
      <c r="M21" s="4">
        <v>15775161</v>
      </c>
      <c r="N21" s="4">
        <v>15787891</v>
      </c>
      <c r="O21" s="4" t="s">
        <v>23</v>
      </c>
      <c r="P21" s="3" t="s">
        <v>585</v>
      </c>
      <c r="Q21" s="3" t="s">
        <v>586</v>
      </c>
      <c r="R21" s="4"/>
      <c r="S21" s="4"/>
      <c r="T21" s="3" t="s">
        <v>500</v>
      </c>
      <c r="U21" s="3" t="s">
        <v>501</v>
      </c>
      <c r="V21" s="4"/>
    </row>
    <row r="22" spans="1:22" customFormat="1" x14ac:dyDescent="0.15">
      <c r="A22" s="3" t="s">
        <v>27</v>
      </c>
      <c r="B22" s="8" t="s">
        <v>28</v>
      </c>
      <c r="C22" s="3" t="s">
        <v>26</v>
      </c>
      <c r="D22" s="4">
        <v>7.4340000000000002</v>
      </c>
      <c r="E22" s="4">
        <v>3.55</v>
      </c>
      <c r="F22" s="4">
        <v>3.38</v>
      </c>
      <c r="G22" s="4">
        <v>38.44</v>
      </c>
      <c r="H22" s="5">
        <f t="shared" si="0"/>
        <v>11.372781065088757</v>
      </c>
      <c r="I22" s="6" t="str">
        <f>HYPERLINK("http://genome.ucsc.edu/cgi-bin/hgTracks?clade=vertebrate&amp;org=Zebrafish&amp;db=danRer7&amp;position=chr5:20611070-20681231","chr5:20611070-20681231")</f>
        <v>chr5:20611070-20681231</v>
      </c>
      <c r="J22" s="6" t="str">
        <f>HYPERLINK("http://www.ncbi.nlm.nih.gov/entrez/query.fcgi?db=gene&amp;cmd=Retrieve&amp;list_uids=393984","393984")</f>
        <v>393984</v>
      </c>
      <c r="K22" s="6" t="str">
        <f>HYPERLINK("http://www.ncbi.nlm.nih.gov/entrez/query.fcgi?cmd=Search&amp;db=Nucleotide&amp;term=NM_201009","NM_201009")</f>
        <v>NM_201009</v>
      </c>
      <c r="L22" s="4" t="s">
        <v>29</v>
      </c>
      <c r="M22" s="4">
        <v>20611070</v>
      </c>
      <c r="N22" s="4">
        <v>20681231</v>
      </c>
      <c r="O22" s="4" t="s">
        <v>19</v>
      </c>
      <c r="P22" s="3" t="s">
        <v>30</v>
      </c>
      <c r="Q22" s="3" t="s">
        <v>31</v>
      </c>
      <c r="R22" s="3" t="s">
        <v>32</v>
      </c>
      <c r="S22" s="3" t="s">
        <v>33</v>
      </c>
      <c r="T22" s="3" t="s">
        <v>34</v>
      </c>
      <c r="U22" s="3" t="s">
        <v>35</v>
      </c>
      <c r="V22" s="4"/>
    </row>
    <row r="23" spans="1:22" customFormat="1" x14ac:dyDescent="0.15">
      <c r="A23" s="3" t="s">
        <v>1276</v>
      </c>
      <c r="B23" s="8" t="s">
        <v>1276</v>
      </c>
      <c r="C23" s="3" t="s">
        <v>1275</v>
      </c>
      <c r="D23" s="4">
        <v>1.3919999999999999</v>
      </c>
      <c r="E23" s="4">
        <v>4.47</v>
      </c>
      <c r="F23" s="4">
        <v>3.25</v>
      </c>
      <c r="G23" s="4">
        <v>36.9</v>
      </c>
      <c r="H23" s="5">
        <f t="shared" si="0"/>
        <v>11.353846153846153</v>
      </c>
      <c r="I23" s="6" t="str">
        <f>HYPERLINK("http://genome.ucsc.edu/cgi-bin/hgTracks?clade=vertebrate&amp;org=Zebrafish&amp;db=danRer7&amp;position=chr20:53541588-53573520","chr20:53541588-53573520")</f>
        <v>chr20:53541588-53573520</v>
      </c>
      <c r="J23" s="6" t="str">
        <f>HYPERLINK("http://www.ncbi.nlm.nih.gov/entrez/query.fcgi?db=gene&amp;cmd=Retrieve&amp;list_uids=571911","571911")</f>
        <v>571911</v>
      </c>
      <c r="K23" s="6" t="str">
        <f>HYPERLINK("http://www.ncbi.nlm.nih.gov/entrez/query.fcgi?cmd=Search&amp;db=Nucleotide&amp;term=NM_001202525","NM_001202525")</f>
        <v>NM_001202525</v>
      </c>
      <c r="L23" s="4" t="s">
        <v>96</v>
      </c>
      <c r="M23" s="4">
        <v>53541588</v>
      </c>
      <c r="N23" s="4">
        <v>53573520</v>
      </c>
      <c r="O23" s="4" t="s">
        <v>19</v>
      </c>
      <c r="P23" s="3" t="s">
        <v>1277</v>
      </c>
      <c r="Q23" s="3" t="s">
        <v>1278</v>
      </c>
      <c r="R23" s="3" t="s">
        <v>39</v>
      </c>
      <c r="S23" s="3" t="s">
        <v>40</v>
      </c>
      <c r="T23" s="3" t="s">
        <v>1279</v>
      </c>
      <c r="U23" s="3" t="s">
        <v>1280</v>
      </c>
      <c r="V23" s="4"/>
    </row>
    <row r="24" spans="1:22" customFormat="1" x14ac:dyDescent="0.15">
      <c r="A24" s="3" t="s">
        <v>1212</v>
      </c>
      <c r="B24" s="8" t="s">
        <v>1213</v>
      </c>
      <c r="C24" s="3" t="s">
        <v>1211</v>
      </c>
      <c r="D24" s="4">
        <v>5.9649999999999999</v>
      </c>
      <c r="E24" s="4">
        <v>5.27</v>
      </c>
      <c r="F24" s="4">
        <v>3.1</v>
      </c>
      <c r="G24" s="4">
        <v>34.78</v>
      </c>
      <c r="H24" s="5">
        <f t="shared" si="0"/>
        <v>11.219354838709677</v>
      </c>
      <c r="I24" s="6" t="str">
        <f>HYPERLINK("http://genome.ucsc.edu/cgi-bin/hgTracks?clade=vertebrate&amp;org=Zebrafish&amp;db=danRer7&amp;position=chr21:23809400-23813162","chr21:23809400-23813162")</f>
        <v>chr21:23809400-23813162</v>
      </c>
      <c r="J24" s="6" t="str">
        <f>HYPERLINK("http://www.ncbi.nlm.nih.gov/entrez/query.fcgi?db=gene&amp;cmd=Retrieve&amp;list_uids=447891","447891")</f>
        <v>447891</v>
      </c>
      <c r="K24" s="6" t="str">
        <f>HYPERLINK("http://www.ncbi.nlm.nih.gov/entrez/query.fcgi?cmd=Search&amp;db=Nucleotide&amp;term=NM_001004630","NM_001004630")</f>
        <v>NM_001004630</v>
      </c>
      <c r="L24" s="4" t="s">
        <v>83</v>
      </c>
      <c r="M24" s="4">
        <v>23809400</v>
      </c>
      <c r="N24" s="4">
        <v>23813162</v>
      </c>
      <c r="O24" s="4" t="s">
        <v>19</v>
      </c>
      <c r="P24" s="3" t="s">
        <v>1214</v>
      </c>
      <c r="Q24" s="3" t="s">
        <v>1215</v>
      </c>
      <c r="R24" s="3" t="s">
        <v>75</v>
      </c>
      <c r="S24" s="3" t="s">
        <v>76</v>
      </c>
      <c r="T24" s="3" t="s">
        <v>1216</v>
      </c>
      <c r="U24" s="3" t="s">
        <v>1217</v>
      </c>
      <c r="V24" s="4"/>
    </row>
    <row r="25" spans="1:22" customFormat="1" x14ac:dyDescent="0.15">
      <c r="A25" s="3" t="s">
        <v>1264</v>
      </c>
      <c r="B25" s="8" t="s">
        <v>1264</v>
      </c>
      <c r="C25" s="3" t="s">
        <v>1263</v>
      </c>
      <c r="D25" s="4">
        <v>3.7589999999999999</v>
      </c>
      <c r="E25" s="4">
        <v>0.27</v>
      </c>
      <c r="F25" s="4">
        <v>0.7</v>
      </c>
      <c r="G25" s="4">
        <v>7.31</v>
      </c>
      <c r="H25" s="5">
        <f t="shared" si="0"/>
        <v>10.442857142857143</v>
      </c>
      <c r="I25" s="6" t="str">
        <f>HYPERLINK("http://genome.ucsc.edu/cgi-bin/hgTracks?clade=vertebrate&amp;org=Zebrafish&amp;db=danRer7&amp;position=chr18:27022220-27029974","chr18:27022220-27029974")</f>
        <v>chr18:27022220-27029974</v>
      </c>
      <c r="J25" s="6" t="str">
        <f>HYPERLINK("http://www.ncbi.nlm.nih.gov/entrez/query.fcgi?db=gene&amp;cmd=Retrieve&amp;list_uids=571470","571470")</f>
        <v>571470</v>
      </c>
      <c r="K25" s="6" t="str">
        <f>HYPERLINK("http://www.ncbi.nlm.nih.gov/entrez/query.fcgi?cmd=Search&amp;db=Nucleotide&amp;term=NM_001045219","NM_001045219")</f>
        <v>NM_001045219</v>
      </c>
      <c r="L25" s="4" t="s">
        <v>41</v>
      </c>
      <c r="M25" s="4">
        <v>27022220</v>
      </c>
      <c r="N25" s="4">
        <v>27029974</v>
      </c>
      <c r="O25" s="4" t="s">
        <v>23</v>
      </c>
      <c r="P25" s="4"/>
      <c r="Q25" s="4"/>
      <c r="R25" s="4"/>
      <c r="S25" s="4"/>
      <c r="T25" s="4"/>
      <c r="U25" s="4"/>
      <c r="V25" s="4"/>
    </row>
    <row r="26" spans="1:22" customFormat="1" x14ac:dyDescent="0.15">
      <c r="A26" s="3" t="s">
        <v>741</v>
      </c>
      <c r="B26" s="8" t="s">
        <v>742</v>
      </c>
      <c r="C26" s="3" t="s">
        <v>740</v>
      </c>
      <c r="D26" s="4">
        <v>5.4210000000000003</v>
      </c>
      <c r="E26" s="4">
        <v>21.14</v>
      </c>
      <c r="F26" s="4">
        <v>13.32</v>
      </c>
      <c r="G26" s="4">
        <v>134.72999999999999</v>
      </c>
      <c r="H26" s="5">
        <f t="shared" si="0"/>
        <v>10.114864864864863</v>
      </c>
      <c r="I26" s="6" t="str">
        <f>HYPERLINK("http://genome.ucsc.edu/cgi-bin/hgTracks?clade=vertebrate&amp;org=Zebrafish&amp;db=danRer7&amp;position=chr10:7998705-8020026","chr10:7998705-8020026")</f>
        <v>chr10:7998705-8020026</v>
      </c>
      <c r="J26" s="6" t="str">
        <f>HYPERLINK("http://www.ncbi.nlm.nih.gov/entrez/query.fcgi?db=gene&amp;cmd=Retrieve&amp;list_uids=394060","394060")</f>
        <v>394060</v>
      </c>
      <c r="K26" s="6" t="str">
        <f>HYPERLINK("http://www.ncbi.nlm.nih.gov/entrez/query.fcgi?cmd=Search&amp;db=Nucleotide&amp;term=NM_201085","NM_201085")</f>
        <v>NM_201085</v>
      </c>
      <c r="L26" s="4" t="s">
        <v>92</v>
      </c>
      <c r="M26" s="4">
        <v>7998705</v>
      </c>
      <c r="N26" s="4">
        <v>8020026</v>
      </c>
      <c r="O26" s="4" t="s">
        <v>23</v>
      </c>
      <c r="P26" s="3" t="s">
        <v>743</v>
      </c>
      <c r="Q26" s="3" t="s">
        <v>744</v>
      </c>
      <c r="R26" s="3" t="s">
        <v>67</v>
      </c>
      <c r="S26" s="3" t="s">
        <v>68</v>
      </c>
      <c r="T26" s="3" t="s">
        <v>745</v>
      </c>
      <c r="U26" s="3" t="s">
        <v>746</v>
      </c>
      <c r="V26" s="4"/>
    </row>
    <row r="27" spans="1:22" customFormat="1" x14ac:dyDescent="0.15">
      <c r="A27" s="3" t="s">
        <v>753</v>
      </c>
      <c r="B27" s="8" t="s">
        <v>754</v>
      </c>
      <c r="C27" s="3" t="s">
        <v>752</v>
      </c>
      <c r="D27" s="4">
        <v>1.74</v>
      </c>
      <c r="E27" s="4">
        <v>3.36</v>
      </c>
      <c r="F27" s="4">
        <v>2.58</v>
      </c>
      <c r="G27" s="4">
        <v>25.48</v>
      </c>
      <c r="H27" s="5">
        <f t="shared" si="0"/>
        <v>9.8759689922480618</v>
      </c>
      <c r="I27" s="6" t="str">
        <f>HYPERLINK("http://genome.ucsc.edu/cgi-bin/hgTracks?clade=vertebrate&amp;org=Zebrafish&amp;db=danRer7&amp;position=chr6:34866682-34881559","chr6:34866682-34881559")</f>
        <v>chr6:34866682-34881559</v>
      </c>
      <c r="J27" s="6" t="str">
        <f>HYPERLINK("http://www.ncbi.nlm.nih.gov/entrez/query.fcgi?db=gene&amp;cmd=Retrieve&amp;list_uids=768185","768185")</f>
        <v>768185</v>
      </c>
      <c r="K27" s="6" t="str">
        <f>HYPERLINK("http://www.ncbi.nlm.nih.gov/entrez/query.fcgi?cmd=Search&amp;db=Nucleotide&amp;term=NM_001077328","NM_001077328")</f>
        <v>NM_001077328</v>
      </c>
      <c r="L27" s="4" t="s">
        <v>46</v>
      </c>
      <c r="M27" s="4">
        <v>34866682</v>
      </c>
      <c r="N27" s="4">
        <v>34881559</v>
      </c>
      <c r="O27" s="4" t="s">
        <v>23</v>
      </c>
      <c r="P27" s="3" t="s">
        <v>37</v>
      </c>
      <c r="Q27" s="3" t="s">
        <v>38</v>
      </c>
      <c r="R27" s="3" t="s">
        <v>67</v>
      </c>
      <c r="S27" s="3" t="s">
        <v>68</v>
      </c>
      <c r="T27" s="3" t="s">
        <v>304</v>
      </c>
      <c r="U27" s="3" t="s">
        <v>305</v>
      </c>
      <c r="V27" s="4"/>
    </row>
    <row r="28" spans="1:22" customFormat="1" x14ac:dyDescent="0.15">
      <c r="A28" s="3" t="s">
        <v>1296</v>
      </c>
      <c r="B28" s="8" t="s">
        <v>1296</v>
      </c>
      <c r="C28" s="3" t="s">
        <v>1295</v>
      </c>
      <c r="D28" s="4">
        <v>1.802</v>
      </c>
      <c r="E28" s="4">
        <v>0.54</v>
      </c>
      <c r="F28" s="4">
        <v>0.52</v>
      </c>
      <c r="G28" s="4">
        <v>5.12</v>
      </c>
      <c r="H28" s="5">
        <f t="shared" si="0"/>
        <v>9.8461538461538467</v>
      </c>
      <c r="I28" s="6" t="str">
        <f>HYPERLINK("http://genome.ucsc.edu/cgi-bin/hgTracks?clade=vertebrate&amp;org=Zebrafish&amp;db=danRer7&amp;position=chr16:29965245-29977398","chr16:29965245-29977398")</f>
        <v>chr16:29965245-29977398</v>
      </c>
      <c r="J28" s="6" t="str">
        <f>HYPERLINK("http://www.ncbi.nlm.nih.gov/entrez/query.fcgi?db=gene&amp;cmd=Retrieve&amp;list_uids=550429","550429")</f>
        <v>550429</v>
      </c>
      <c r="K28" s="6" t="str">
        <f>HYPERLINK("http://www.ncbi.nlm.nih.gov/entrez/query.fcgi?cmd=Search&amp;db=Nucleotide&amp;term=NM_001017734","NM_001017734")</f>
        <v>NM_001017734</v>
      </c>
      <c r="L28" s="4" t="s">
        <v>71</v>
      </c>
      <c r="M28" s="4">
        <v>29965245</v>
      </c>
      <c r="N28" s="4">
        <v>29977398</v>
      </c>
      <c r="O28" s="4" t="s">
        <v>19</v>
      </c>
      <c r="P28" s="3" t="s">
        <v>141</v>
      </c>
      <c r="Q28" s="3" t="s">
        <v>142</v>
      </c>
      <c r="R28" s="3" t="s">
        <v>39</v>
      </c>
      <c r="S28" s="3" t="s">
        <v>40</v>
      </c>
      <c r="T28" s="3" t="s">
        <v>1297</v>
      </c>
      <c r="U28" s="3" t="s">
        <v>1298</v>
      </c>
      <c r="V28" s="4"/>
    </row>
    <row r="29" spans="1:22" customFormat="1" x14ac:dyDescent="0.15">
      <c r="A29" s="3" t="s">
        <v>1282</v>
      </c>
      <c r="B29" s="8" t="s">
        <v>1282</v>
      </c>
      <c r="C29" s="3" t="s">
        <v>1281</v>
      </c>
      <c r="D29" s="4">
        <v>0.56499999999999995</v>
      </c>
      <c r="E29" s="4">
        <v>3.48</v>
      </c>
      <c r="F29" s="4">
        <v>6.7</v>
      </c>
      <c r="G29" s="4">
        <v>61.08</v>
      </c>
      <c r="H29" s="5">
        <f t="shared" si="0"/>
        <v>9.1164179104477601</v>
      </c>
      <c r="I29" s="6" t="str">
        <f>HYPERLINK("http://genome.ucsc.edu/cgi-bin/hgTracks?clade=vertebrate&amp;org=Zebrafish&amp;db=danRer7&amp;position=chr1:49728968-49732158","chr1:49728968-49732158")</f>
        <v>chr1:49728968-49732158</v>
      </c>
      <c r="J29" s="6" t="str">
        <f>HYPERLINK("http://www.ncbi.nlm.nih.gov/entrez/query.fcgi?db=gene&amp;cmd=Retrieve&amp;list_uids=795785","795785")</f>
        <v>795785</v>
      </c>
      <c r="K29" s="6" t="str">
        <f>HYPERLINK("http://www.ncbi.nlm.nih.gov/entrez/query.fcgi?cmd=Search&amp;db=Nucleotide&amp;term=NM_001115060","NM_001115060")</f>
        <v>NM_001115060</v>
      </c>
      <c r="L29" s="4" t="s">
        <v>63</v>
      </c>
      <c r="M29" s="4">
        <v>49728968</v>
      </c>
      <c r="N29" s="4">
        <v>49732158</v>
      </c>
      <c r="O29" s="4" t="s">
        <v>19</v>
      </c>
      <c r="P29" s="3" t="s">
        <v>321</v>
      </c>
      <c r="Q29" s="3" t="s">
        <v>322</v>
      </c>
      <c r="R29" s="3" t="s">
        <v>20</v>
      </c>
      <c r="S29" s="3" t="s">
        <v>21</v>
      </c>
      <c r="T29" s="3" t="s">
        <v>349</v>
      </c>
      <c r="U29" s="3" t="s">
        <v>350</v>
      </c>
      <c r="V29" s="4"/>
    </row>
    <row r="30" spans="1:22" customFormat="1" x14ac:dyDescent="0.15">
      <c r="A30" s="3" t="s">
        <v>1119</v>
      </c>
      <c r="B30" s="8" t="s">
        <v>1120</v>
      </c>
      <c r="C30" s="3" t="s">
        <v>1118</v>
      </c>
      <c r="D30" s="4">
        <v>2.222</v>
      </c>
      <c r="E30" s="4">
        <v>5.08</v>
      </c>
      <c r="F30" s="4">
        <v>3.1</v>
      </c>
      <c r="G30" s="4">
        <v>27.97</v>
      </c>
      <c r="H30" s="5">
        <f t="shared" si="0"/>
        <v>9.0225806451612893</v>
      </c>
      <c r="I30" s="6" t="str">
        <f>HYPERLINK("http://genome.ucsc.edu/cgi-bin/hgTracks?clade=vertebrate&amp;org=Zebrafish&amp;db=danRer7&amp;position=Zv9_NA47:37119-47147","Zv9_NA47:37119-47147")</f>
        <v>Zv9_NA47:37119-47147</v>
      </c>
      <c r="J30" s="6" t="str">
        <f>HYPERLINK("http://www.ncbi.nlm.nih.gov/entrez/query.fcgi?db=gene&amp;cmd=Retrieve&amp;list_uids=767699","767699")</f>
        <v>767699</v>
      </c>
      <c r="K30" s="6" t="str">
        <f>HYPERLINK("http://www.ncbi.nlm.nih.gov/entrez/query.fcgi?cmd=Search&amp;db=Nucleotide&amp;term=NM_001076637","NM_001076637")</f>
        <v>NM_001076637</v>
      </c>
      <c r="L30" s="4" t="s">
        <v>1121</v>
      </c>
      <c r="M30" s="4">
        <v>37119</v>
      </c>
      <c r="N30" s="4">
        <v>47147</v>
      </c>
      <c r="O30" s="4" t="s">
        <v>19</v>
      </c>
      <c r="P30" s="3" t="s">
        <v>37</v>
      </c>
      <c r="Q30" s="3" t="s">
        <v>38</v>
      </c>
      <c r="R30" s="3" t="s">
        <v>67</v>
      </c>
      <c r="S30" s="3" t="s">
        <v>68</v>
      </c>
      <c r="T30" s="3" t="s">
        <v>347</v>
      </c>
      <c r="U30" s="3" t="s">
        <v>348</v>
      </c>
      <c r="V30" s="4"/>
    </row>
    <row r="31" spans="1:22" customFormat="1" x14ac:dyDescent="0.15">
      <c r="A31" s="3" t="s">
        <v>541</v>
      </c>
      <c r="B31" s="8" t="s">
        <v>542</v>
      </c>
      <c r="C31" s="3" t="s">
        <v>540</v>
      </c>
      <c r="D31" s="4">
        <v>2.0529999999999999</v>
      </c>
      <c r="E31" s="4">
        <v>1.22</v>
      </c>
      <c r="F31" s="4">
        <v>1.28</v>
      </c>
      <c r="G31" s="4">
        <v>11.37</v>
      </c>
      <c r="H31" s="5">
        <f t="shared" si="0"/>
        <v>8.8828125</v>
      </c>
      <c r="I31" s="6" t="str">
        <f>HYPERLINK("http://genome.ucsc.edu/cgi-bin/hgTracks?clade=vertebrate&amp;org=Zebrafish&amp;db=danRer7&amp;position=chr24:8664121-8688060","chr24:8664121-8688060")</f>
        <v>chr24:8664121-8688060</v>
      </c>
      <c r="J31" s="6" t="str">
        <f>HYPERLINK("http://www.ncbi.nlm.nih.gov/entrez/query.fcgi?db=gene&amp;cmd=Retrieve&amp;list_uids=678614","678614")</f>
        <v>678614</v>
      </c>
      <c r="K31" s="6" t="str">
        <f>HYPERLINK("http://www.ncbi.nlm.nih.gov/entrez/query.fcgi?cmd=Search&amp;db=Nucleotide&amp;term=NM_001040362","NM_001040362")</f>
        <v>NM_001040362</v>
      </c>
      <c r="L31" s="4" t="s">
        <v>69</v>
      </c>
      <c r="M31" s="4">
        <v>8664121</v>
      </c>
      <c r="N31" s="4">
        <v>8688060</v>
      </c>
      <c r="O31" s="4" t="s">
        <v>19</v>
      </c>
      <c r="P31" s="3" t="s">
        <v>543</v>
      </c>
      <c r="Q31" s="3" t="s">
        <v>544</v>
      </c>
      <c r="R31" s="3" t="s">
        <v>39</v>
      </c>
      <c r="S31" s="3" t="s">
        <v>40</v>
      </c>
      <c r="T31" s="3" t="s">
        <v>24</v>
      </c>
      <c r="U31" s="3" t="s">
        <v>25</v>
      </c>
      <c r="V31" s="4"/>
    </row>
    <row r="32" spans="1:22" customFormat="1" x14ac:dyDescent="0.15">
      <c r="A32" s="3" t="s">
        <v>445</v>
      </c>
      <c r="B32" s="8" t="s">
        <v>446</v>
      </c>
      <c r="C32" s="3" t="s">
        <v>444</v>
      </c>
      <c r="D32" s="4">
        <v>4.7510000000000003</v>
      </c>
      <c r="E32" s="4">
        <v>2.33</v>
      </c>
      <c r="F32" s="4">
        <v>1.75</v>
      </c>
      <c r="G32" s="4">
        <v>15.53</v>
      </c>
      <c r="H32" s="5">
        <f t="shared" si="0"/>
        <v>8.8742857142857137</v>
      </c>
      <c r="I32" s="6" t="str">
        <f>HYPERLINK("http://genome.ucsc.edu/cgi-bin/hgTracks?clade=vertebrate&amp;org=Zebrafish&amp;db=danRer7&amp;position=chr25:16403671-16414596","chr25:16403671-16414596")</f>
        <v>chr25:16403671-16414596</v>
      </c>
      <c r="J32" s="6" t="str">
        <f>HYPERLINK("http://www.ncbi.nlm.nih.gov/entrez/query.fcgi?db=gene&amp;cmd=Retrieve&amp;list_uids=751641","751641")</f>
        <v>751641</v>
      </c>
      <c r="K32" s="6" t="str">
        <f>HYPERLINK("http://www.ncbi.nlm.nih.gov/entrez/query.fcgi?cmd=Search&amp;db=Nucleotide&amp;term=NM_001045360","NM_001045360")</f>
        <v>NM_001045360</v>
      </c>
      <c r="L32" s="4" t="s">
        <v>60</v>
      </c>
      <c r="M32" s="4">
        <v>16403671</v>
      </c>
      <c r="N32" s="4">
        <v>16414596</v>
      </c>
      <c r="O32" s="4" t="s">
        <v>19</v>
      </c>
      <c r="P32" s="3" t="s">
        <v>447</v>
      </c>
      <c r="Q32" s="3" t="s">
        <v>448</v>
      </c>
      <c r="R32" s="3" t="s">
        <v>75</v>
      </c>
      <c r="S32" s="3" t="s">
        <v>76</v>
      </c>
      <c r="T32" s="3" t="s">
        <v>449</v>
      </c>
      <c r="U32" s="3" t="s">
        <v>450</v>
      </c>
      <c r="V32" s="4"/>
    </row>
    <row r="33" spans="1:22" customFormat="1" x14ac:dyDescent="0.15">
      <c r="A33" s="3" t="s">
        <v>1202</v>
      </c>
      <c r="B33" s="8" t="s">
        <v>1203</v>
      </c>
      <c r="C33" s="3" t="s">
        <v>1201</v>
      </c>
      <c r="D33" s="4">
        <v>1.113</v>
      </c>
      <c r="E33" s="4">
        <v>0.49</v>
      </c>
      <c r="F33" s="4">
        <v>0.48</v>
      </c>
      <c r="G33" s="4">
        <v>4.25</v>
      </c>
      <c r="H33" s="5">
        <f t="shared" si="0"/>
        <v>8.8541666666666679</v>
      </c>
      <c r="I33" s="6" t="str">
        <f>HYPERLINK("http://genome.ucsc.edu/cgi-bin/hgTracks?clade=vertebrate&amp;org=Zebrafish&amp;db=danRer7&amp;position=chr21:7136708-7156370","chr21:7136708-7156370")</f>
        <v>chr21:7136708-7156370</v>
      </c>
      <c r="J33" s="6" t="str">
        <f>HYPERLINK("http://www.ncbi.nlm.nih.gov/entrez/query.fcgi?db=gene&amp;cmd=Retrieve&amp;list_uids=554089","554089")</f>
        <v>554089</v>
      </c>
      <c r="K33" s="6" t="str">
        <f>HYPERLINK("http://www.ncbi.nlm.nih.gov/entrez/query.fcgi?cmd=Search&amp;db=Nucleotide&amp;term=NM_001024391","NM_001024391")</f>
        <v>NM_001024391</v>
      </c>
      <c r="L33" s="4" t="s">
        <v>83</v>
      </c>
      <c r="M33" s="4">
        <v>7136708</v>
      </c>
      <c r="N33" s="4">
        <v>7156370</v>
      </c>
      <c r="O33" s="4" t="s">
        <v>19</v>
      </c>
      <c r="P33" s="4"/>
      <c r="Q33" s="4"/>
      <c r="R33" s="3" t="s">
        <v>67</v>
      </c>
      <c r="S33" s="3" t="s">
        <v>68</v>
      </c>
      <c r="T33" s="3" t="s">
        <v>169</v>
      </c>
      <c r="U33" s="3" t="s">
        <v>170</v>
      </c>
      <c r="V33" s="4"/>
    </row>
    <row r="34" spans="1:22" customFormat="1" x14ac:dyDescent="0.15">
      <c r="A34" s="3" t="s">
        <v>1052</v>
      </c>
      <c r="B34" s="8" t="s">
        <v>1053</v>
      </c>
      <c r="C34" s="3" t="s">
        <v>1051</v>
      </c>
      <c r="D34" s="4">
        <v>3.04</v>
      </c>
      <c r="E34" s="4">
        <v>5.83</v>
      </c>
      <c r="F34" s="4">
        <v>4.24</v>
      </c>
      <c r="G34" s="4">
        <v>34.369999999999997</v>
      </c>
      <c r="H34" s="5">
        <f t="shared" si="0"/>
        <v>8.106132075471697</v>
      </c>
      <c r="I34" s="6" t="str">
        <f>HYPERLINK("http://genome.ucsc.edu/cgi-bin/hgTracks?clade=vertebrate&amp;org=Zebrafish&amp;db=danRer7&amp;position=chr14:18546702-18559067","chr14:18546702-18559067")</f>
        <v>chr14:18546702-18559067</v>
      </c>
      <c r="J34" s="6" t="str">
        <f>HYPERLINK("http://www.ncbi.nlm.nih.gov/entrez/query.fcgi?db=gene&amp;cmd=Retrieve&amp;list_uids=550369","550369")</f>
        <v>550369</v>
      </c>
      <c r="K34" s="6" t="str">
        <f>HYPERLINK("http://www.ncbi.nlm.nih.gov/entrez/query.fcgi?cmd=Search&amp;db=Nucleotide&amp;term=NM_001017674","NM_001017674")</f>
        <v>NM_001017674</v>
      </c>
      <c r="L34" s="4" t="s">
        <v>64</v>
      </c>
      <c r="M34" s="4">
        <v>18546702</v>
      </c>
      <c r="N34" s="4">
        <v>18559067</v>
      </c>
      <c r="O34" s="4" t="s">
        <v>19</v>
      </c>
      <c r="P34" s="3" t="s">
        <v>760</v>
      </c>
      <c r="Q34" s="3" t="s">
        <v>761</v>
      </c>
      <c r="R34" s="4"/>
      <c r="S34" s="4"/>
      <c r="T34" s="3" t="s">
        <v>1054</v>
      </c>
      <c r="U34" s="3" t="s">
        <v>1055</v>
      </c>
      <c r="V34" s="4"/>
    </row>
    <row r="35" spans="1:22" customFormat="1" x14ac:dyDescent="0.15">
      <c r="A35" s="3" t="s">
        <v>1181</v>
      </c>
      <c r="B35" s="8" t="s">
        <v>1182</v>
      </c>
      <c r="C35" s="3" t="s">
        <v>1180</v>
      </c>
      <c r="D35" s="4">
        <v>4.1079999999999997</v>
      </c>
      <c r="E35" s="4">
        <v>2.88</v>
      </c>
      <c r="F35" s="4">
        <v>2.34</v>
      </c>
      <c r="G35" s="4">
        <v>16.86</v>
      </c>
      <c r="H35" s="5">
        <f t="shared" si="0"/>
        <v>7.2051282051282053</v>
      </c>
      <c r="I35" s="6" t="str">
        <f>HYPERLINK("http://genome.ucsc.edu/cgi-bin/hgTracks?clade=vertebrate&amp;org=Zebrafish&amp;db=danRer7&amp;position=chr13:33279224-33289445","chr13:33279224-33289445")</f>
        <v>chr13:33279224-33289445</v>
      </c>
      <c r="J35" s="6" t="str">
        <f>HYPERLINK("http://www.ncbi.nlm.nih.gov/entrez/query.fcgi?db=gene&amp;cmd=Retrieve&amp;list_uids=436597","436597")</f>
        <v>436597</v>
      </c>
      <c r="K35" s="6" t="str">
        <f>HYPERLINK("http://www.ncbi.nlm.nih.gov/entrez/query.fcgi?cmd=Search&amp;db=Nucleotide&amp;term=NM_001002325","NM_001002325")</f>
        <v>NM_001002325</v>
      </c>
      <c r="L35" s="4" t="s">
        <v>74</v>
      </c>
      <c r="M35" s="4">
        <v>33279224</v>
      </c>
      <c r="N35" s="4">
        <v>33289445</v>
      </c>
      <c r="O35" s="4" t="s">
        <v>23</v>
      </c>
      <c r="P35" s="3" t="s">
        <v>90</v>
      </c>
      <c r="Q35" s="3" t="s">
        <v>91</v>
      </c>
      <c r="R35" s="4"/>
      <c r="S35" s="4"/>
      <c r="T35" s="3" t="s">
        <v>304</v>
      </c>
      <c r="U35" s="3" t="s">
        <v>305</v>
      </c>
      <c r="V35" s="4"/>
    </row>
    <row r="36" spans="1:22" customFormat="1" x14ac:dyDescent="0.15">
      <c r="A36" s="3" t="s">
        <v>1284</v>
      </c>
      <c r="B36" s="8" t="s">
        <v>1284</v>
      </c>
      <c r="C36" s="3" t="s">
        <v>1283</v>
      </c>
      <c r="D36" s="4">
        <v>5.9660000000000002</v>
      </c>
      <c r="E36" s="4">
        <v>2.42</v>
      </c>
      <c r="F36" s="4">
        <v>2.08</v>
      </c>
      <c r="G36" s="4">
        <v>14.76</v>
      </c>
      <c r="H36" s="5">
        <f t="shared" si="0"/>
        <v>7.0961538461538458</v>
      </c>
      <c r="I36" s="6" t="str">
        <f>HYPERLINK("http://genome.ucsc.edu/cgi-bin/hgTracks?clade=vertebrate&amp;org=Zebrafish&amp;db=danRer7&amp;position=chr5:32053267-32057653","chr5:32053267-32057653")</f>
        <v>chr5:32053267-32057653</v>
      </c>
      <c r="J36" s="6" t="str">
        <f>HYPERLINK("http://www.ncbi.nlm.nih.gov/entrez/query.fcgi?db=gene&amp;cmd=Retrieve&amp;list_uids=566223","566223")</f>
        <v>566223</v>
      </c>
      <c r="K36" s="6" t="str">
        <f>HYPERLINK("http://www.ncbi.nlm.nih.gov/entrez/query.fcgi?cmd=Search&amp;db=Nucleotide&amp;term=NM_001128731","NM_001128731")</f>
        <v>NM_001128731</v>
      </c>
      <c r="L36" s="4" t="s">
        <v>29</v>
      </c>
      <c r="M36" s="4">
        <v>32053267</v>
      </c>
      <c r="N36" s="4">
        <v>32057653</v>
      </c>
      <c r="O36" s="4" t="s">
        <v>19</v>
      </c>
      <c r="P36" s="3" t="s">
        <v>151</v>
      </c>
      <c r="Q36" s="3" t="s">
        <v>152</v>
      </c>
      <c r="R36" s="3" t="s">
        <v>61</v>
      </c>
      <c r="S36" s="3" t="s">
        <v>62</v>
      </c>
      <c r="T36" s="3" t="s">
        <v>259</v>
      </c>
      <c r="U36" s="3" t="s">
        <v>260</v>
      </c>
      <c r="V36" s="4"/>
    </row>
    <row r="37" spans="1:22" customFormat="1" x14ac:dyDescent="0.15">
      <c r="A37" s="3" t="s">
        <v>884</v>
      </c>
      <c r="B37" s="8" t="s">
        <v>885</v>
      </c>
      <c r="C37" s="3" t="s">
        <v>883</v>
      </c>
      <c r="D37" s="4">
        <v>5.1790000000000003</v>
      </c>
      <c r="E37" s="4">
        <v>0.72</v>
      </c>
      <c r="F37" s="4">
        <v>1.25</v>
      </c>
      <c r="G37" s="4">
        <v>8.8699999999999992</v>
      </c>
      <c r="H37" s="5">
        <f t="shared" si="0"/>
        <v>7.0959999999999992</v>
      </c>
      <c r="I37" s="6" t="str">
        <f>HYPERLINK("http://genome.ucsc.edu/cgi-bin/hgTracks?clade=vertebrate&amp;org=Zebrafish&amp;db=danRer7&amp;position=chr3:19121207-19143302","chr3:19121207-19143302")</f>
        <v>chr3:19121207-19143302</v>
      </c>
      <c r="J37" s="6" t="str">
        <f>HYPERLINK("http://www.ncbi.nlm.nih.gov/entrez/query.fcgi?db=gene&amp;cmd=Retrieve&amp;list_uids=387529","387529")</f>
        <v>387529</v>
      </c>
      <c r="K37" s="6" t="str">
        <f>HYPERLINK("http://www.ncbi.nlm.nih.gov/entrez/query.fcgi?cmd=Search&amp;db=Nucleotide&amp;term=NM_001030283","NM_001030283")</f>
        <v>NM_001030283</v>
      </c>
      <c r="L37" s="4" t="s">
        <v>47</v>
      </c>
      <c r="M37" s="4">
        <v>19121207</v>
      </c>
      <c r="N37" s="4">
        <v>19143302</v>
      </c>
      <c r="O37" s="4" t="s">
        <v>23</v>
      </c>
      <c r="P37" s="4"/>
      <c r="Q37" s="4"/>
      <c r="R37" s="3" t="s">
        <v>75</v>
      </c>
      <c r="S37" s="3" t="s">
        <v>76</v>
      </c>
      <c r="T37" s="3" t="s">
        <v>353</v>
      </c>
      <c r="U37" s="3" t="s">
        <v>354</v>
      </c>
      <c r="V37" s="4"/>
    </row>
    <row r="38" spans="1:22" customFormat="1" x14ac:dyDescent="0.15">
      <c r="A38" s="3" t="s">
        <v>835</v>
      </c>
      <c r="B38" s="8" t="s">
        <v>836</v>
      </c>
      <c r="C38" s="3" t="s">
        <v>834</v>
      </c>
      <c r="D38" s="4">
        <v>8.9290000000000003</v>
      </c>
      <c r="E38" s="4">
        <v>1.36</v>
      </c>
      <c r="F38" s="4">
        <v>1.41</v>
      </c>
      <c r="G38" s="4">
        <v>9.82</v>
      </c>
      <c r="H38" s="5">
        <f t="shared" si="0"/>
        <v>6.9645390070921991</v>
      </c>
      <c r="I38" s="6" t="str">
        <f>HYPERLINK("http://genome.ucsc.edu/cgi-bin/hgTracks?clade=vertebrate&amp;org=Zebrafish&amp;db=danRer7&amp;position=chr25:26412235-26416361","chr25:26412235-26416361")</f>
        <v>chr25:26412235-26416361</v>
      </c>
      <c r="J38" s="6" t="str">
        <f>HYPERLINK("http://www.ncbi.nlm.nih.gov/entrez/query.fcgi?db=gene&amp;cmd=Retrieve&amp;list_uids=393650","393650")</f>
        <v>393650</v>
      </c>
      <c r="K38" s="6" t="str">
        <f>HYPERLINK("http://www.ncbi.nlm.nih.gov/entrez/query.fcgi?cmd=Search&amp;db=Nucleotide&amp;term=NM_200677","NM_200677")</f>
        <v>NM_200677</v>
      </c>
      <c r="L38" s="4" t="s">
        <v>60</v>
      </c>
      <c r="M38" s="4">
        <v>26412235</v>
      </c>
      <c r="N38" s="4">
        <v>26416361</v>
      </c>
      <c r="O38" s="4" t="s">
        <v>19</v>
      </c>
      <c r="P38" s="3" t="s">
        <v>151</v>
      </c>
      <c r="Q38" s="3" t="s">
        <v>152</v>
      </c>
      <c r="R38" s="4"/>
      <c r="S38" s="4"/>
      <c r="T38" s="3" t="s">
        <v>829</v>
      </c>
      <c r="U38" s="3" t="s">
        <v>830</v>
      </c>
      <c r="V38" s="4"/>
    </row>
    <row r="39" spans="1:22" customFormat="1" x14ac:dyDescent="0.15">
      <c r="A39" s="3" t="s">
        <v>780</v>
      </c>
      <c r="B39" s="8" t="s">
        <v>781</v>
      </c>
      <c r="C39" s="3" t="s">
        <v>779</v>
      </c>
      <c r="D39" s="4">
        <v>3.4740000000000002</v>
      </c>
      <c r="E39" s="4">
        <v>32.049999999999997</v>
      </c>
      <c r="F39" s="4">
        <v>23.29</v>
      </c>
      <c r="G39" s="4">
        <v>161.84</v>
      </c>
      <c r="H39" s="5">
        <f t="shared" si="0"/>
        <v>6.9489051094890515</v>
      </c>
      <c r="I39" s="6" t="str">
        <f>HYPERLINK("http://genome.ucsc.edu/cgi-bin/hgTracks?clade=vertebrate&amp;org=Zebrafish&amp;db=danRer7&amp;position=chr24:3547093-3554813","chr24:3547093-3554813")</f>
        <v>chr24:3547093-3554813</v>
      </c>
      <c r="J39" s="6" t="str">
        <f>HYPERLINK("http://www.ncbi.nlm.nih.gov/entrez/query.fcgi?db=gene&amp;cmd=Retrieve&amp;list_uids=553513","553513")</f>
        <v>553513</v>
      </c>
      <c r="K39" s="6" t="str">
        <f>HYPERLINK("http://www.ncbi.nlm.nih.gov/entrez/query.fcgi?cmd=Search&amp;db=Nucleotide&amp;term=NM_001025475","NM_001025475")</f>
        <v>NM_001025475</v>
      </c>
      <c r="L39" s="4" t="s">
        <v>69</v>
      </c>
      <c r="M39" s="4">
        <v>3547093</v>
      </c>
      <c r="N39" s="4">
        <v>3554813</v>
      </c>
      <c r="O39" s="4" t="s">
        <v>19</v>
      </c>
      <c r="P39" s="3" t="s">
        <v>585</v>
      </c>
      <c r="Q39" s="3" t="s">
        <v>586</v>
      </c>
      <c r="R39" s="3" t="s">
        <v>67</v>
      </c>
      <c r="S39" s="3" t="s">
        <v>68</v>
      </c>
      <c r="T39" s="3" t="s">
        <v>782</v>
      </c>
      <c r="U39" s="3" t="s">
        <v>783</v>
      </c>
      <c r="V39" s="4"/>
    </row>
    <row r="40" spans="1:22" customFormat="1" x14ac:dyDescent="0.15">
      <c r="A40" s="3" t="s">
        <v>753</v>
      </c>
      <c r="B40" s="8" t="s">
        <v>754</v>
      </c>
      <c r="C40" s="3" t="s">
        <v>752</v>
      </c>
      <c r="D40" s="4">
        <v>1.7390000000000001</v>
      </c>
      <c r="E40" s="4">
        <v>3.39</v>
      </c>
      <c r="F40" s="4">
        <v>2.2000000000000002</v>
      </c>
      <c r="G40" s="4">
        <v>14.82</v>
      </c>
      <c r="H40" s="5">
        <f t="shared" si="0"/>
        <v>6.7363636363636363</v>
      </c>
      <c r="I40" s="6" t="str">
        <f>HYPERLINK("http://genome.ucsc.edu/cgi-bin/hgTracks?clade=vertebrate&amp;org=Zebrafish&amp;db=danRer7&amp;position=chr6:34798397-34813320","chr6:34798397-34813320")</f>
        <v>chr6:34798397-34813320</v>
      </c>
      <c r="J40" s="6" t="str">
        <f>HYPERLINK("http://www.ncbi.nlm.nih.gov/entrez/query.fcgi?db=gene&amp;cmd=Retrieve&amp;list_uids=768185","768185")</f>
        <v>768185</v>
      </c>
      <c r="K40" s="6" t="str">
        <f>HYPERLINK("http://www.ncbi.nlm.nih.gov/entrez/query.fcgi?cmd=Search&amp;db=Nucleotide&amp;term=NM_001077328","NM_001077328")</f>
        <v>NM_001077328</v>
      </c>
      <c r="L40" s="4" t="s">
        <v>46</v>
      </c>
      <c r="M40" s="4">
        <v>34798397</v>
      </c>
      <c r="N40" s="4">
        <v>34813320</v>
      </c>
      <c r="O40" s="4" t="s">
        <v>23</v>
      </c>
      <c r="P40" s="3" t="s">
        <v>37</v>
      </c>
      <c r="Q40" s="3" t="s">
        <v>38</v>
      </c>
      <c r="R40" s="3" t="s">
        <v>67</v>
      </c>
      <c r="S40" s="3" t="s">
        <v>68</v>
      </c>
      <c r="T40" s="3" t="s">
        <v>304</v>
      </c>
      <c r="U40" s="3" t="s">
        <v>305</v>
      </c>
      <c r="V40" s="4"/>
    </row>
    <row r="41" spans="1:22" customFormat="1" x14ac:dyDescent="0.15">
      <c r="A41" s="3" t="s">
        <v>1595</v>
      </c>
      <c r="B41" s="8" t="s">
        <v>1595</v>
      </c>
      <c r="C41" s="3" t="s">
        <v>1594</v>
      </c>
      <c r="D41" s="4">
        <v>3.3889999999999998</v>
      </c>
      <c r="E41" s="4">
        <v>1.27</v>
      </c>
      <c r="F41" s="4">
        <v>0.97</v>
      </c>
      <c r="G41" s="4">
        <v>6.52</v>
      </c>
      <c r="H41" s="5">
        <f t="shared" si="0"/>
        <v>6.7216494845360826</v>
      </c>
      <c r="I41" s="6" t="str">
        <f>HYPERLINK("http://genome.ucsc.edu/cgi-bin/hgTracks?clade=vertebrate&amp;org=Zebrafish&amp;db=danRer7&amp;position=chr3:1198005-1200788","chr3:1198005-1200788")</f>
        <v>chr3:1198005-1200788</v>
      </c>
      <c r="J41" s="6" t="str">
        <f>HYPERLINK("http://www.ncbi.nlm.nih.gov/entrez/query.fcgi?db=gene&amp;cmd=Retrieve&amp;list_uids=100007373","100007373")</f>
        <v>100007373</v>
      </c>
      <c r="K41" s="6" t="str">
        <f>HYPERLINK("http://www.ncbi.nlm.nih.gov/entrez/query.fcgi?cmd=Search&amp;db=Nucleotide&amp;term=NR_024238","NR_024238")</f>
        <v>NR_024238</v>
      </c>
      <c r="L41" s="4" t="s">
        <v>47</v>
      </c>
      <c r="M41" s="4">
        <v>1198005</v>
      </c>
      <c r="N41" s="4">
        <v>1200788</v>
      </c>
      <c r="O41" s="4" t="s">
        <v>23</v>
      </c>
      <c r="P41" s="3" t="s">
        <v>65</v>
      </c>
      <c r="Q41" s="3" t="s">
        <v>66</v>
      </c>
      <c r="R41" s="3" t="s">
        <v>67</v>
      </c>
      <c r="S41" s="3" t="s">
        <v>68</v>
      </c>
      <c r="T41" s="3" t="s">
        <v>1191</v>
      </c>
      <c r="U41" s="3" t="s">
        <v>1192</v>
      </c>
      <c r="V41" s="4"/>
    </row>
    <row r="42" spans="1:22" customFormat="1" x14ac:dyDescent="0.15">
      <c r="A42" s="3" t="s">
        <v>972</v>
      </c>
      <c r="B42" s="3" t="s">
        <v>973</v>
      </c>
      <c r="C42" s="3" t="s">
        <v>971</v>
      </c>
      <c r="D42" s="4">
        <v>3.327</v>
      </c>
      <c r="E42" s="4">
        <v>3.16</v>
      </c>
      <c r="F42" s="4">
        <v>17.43</v>
      </c>
      <c r="G42" s="4">
        <v>116.23</v>
      </c>
      <c r="H42" s="5">
        <f t="shared" si="0"/>
        <v>6.6683878370625358</v>
      </c>
      <c r="I42" s="6" t="str">
        <f>HYPERLINK("http://genome.ucsc.edu/cgi-bin/hgTracks?clade=vertebrate&amp;org=Zebrafish&amp;db=danRer7&amp;position=chr10:39959950-39979811","chr10:39959950-39979811")</f>
        <v>chr10:39959950-39979811</v>
      </c>
      <c r="J42" s="6" t="str">
        <f>HYPERLINK("http://www.ncbi.nlm.nih.gov/entrez/query.fcgi?db=gene&amp;cmd=Retrieve&amp;list_uids=387293","387293")</f>
        <v>387293</v>
      </c>
      <c r="K42" s="6" t="str">
        <f>HYPERLINK("http://www.ncbi.nlm.nih.gov/entrez/query.fcgi?cmd=Search&amp;db=Nucleotide&amp;term=NM_201503","NM_201503")</f>
        <v>NM_201503</v>
      </c>
      <c r="L42" s="4" t="s">
        <v>92</v>
      </c>
      <c r="M42" s="4">
        <v>39959950</v>
      </c>
      <c r="N42" s="4">
        <v>39979811</v>
      </c>
      <c r="O42" s="4" t="s">
        <v>23</v>
      </c>
      <c r="P42" s="3" t="s">
        <v>974</v>
      </c>
      <c r="Q42" s="3" t="s">
        <v>975</v>
      </c>
      <c r="R42" s="3" t="s">
        <v>976</v>
      </c>
      <c r="S42" s="3" t="s">
        <v>977</v>
      </c>
      <c r="T42" s="3" t="s">
        <v>313</v>
      </c>
      <c r="U42" s="3" t="s">
        <v>314</v>
      </c>
      <c r="V42" s="4"/>
    </row>
    <row r="43" spans="1:22" customFormat="1" x14ac:dyDescent="0.15">
      <c r="A43" s="3" t="s">
        <v>1525</v>
      </c>
      <c r="B43" s="3" t="s">
        <v>1525</v>
      </c>
      <c r="C43" s="3" t="s">
        <v>1524</v>
      </c>
      <c r="D43" s="4">
        <v>3.7250000000000001</v>
      </c>
      <c r="E43" s="4">
        <v>3.95</v>
      </c>
      <c r="F43" s="4">
        <v>2.0299999999999998</v>
      </c>
      <c r="G43" s="4">
        <v>13.26</v>
      </c>
      <c r="H43" s="5">
        <f t="shared" si="0"/>
        <v>6.5320197044334982</v>
      </c>
      <c r="I43" s="6" t="str">
        <f>HYPERLINK("http://genome.ucsc.edu/cgi-bin/hgTracks?clade=vertebrate&amp;org=Zebrafish&amp;db=danRer7&amp;position=chr5:72058488-72072287","chr5:72058488-72072287")</f>
        <v>chr5:72058488-72072287</v>
      </c>
      <c r="J43" s="6" t="str">
        <f>HYPERLINK("http://www.ncbi.nlm.nih.gov/entrez/query.fcgi?db=gene&amp;cmd=Retrieve&amp;list_uids=791612","791612")</f>
        <v>791612</v>
      </c>
      <c r="K43" s="6" t="str">
        <f>HYPERLINK("http://www.ncbi.nlm.nih.gov/entrez/query.fcgi?cmd=Search&amp;db=Nucleotide&amp;term=NM_001014296","NM_001014296")</f>
        <v>NM_001014296</v>
      </c>
      <c r="L43" s="4" t="s">
        <v>29</v>
      </c>
      <c r="M43" s="4">
        <v>72058488</v>
      </c>
      <c r="N43" s="4">
        <v>72072287</v>
      </c>
      <c r="O43" s="4" t="s">
        <v>19</v>
      </c>
      <c r="P43" s="3" t="s">
        <v>940</v>
      </c>
      <c r="Q43" s="3" t="s">
        <v>941</v>
      </c>
      <c r="R43" s="3" t="s">
        <v>67</v>
      </c>
      <c r="S43" s="3" t="s">
        <v>68</v>
      </c>
      <c r="T43" s="3" t="s">
        <v>942</v>
      </c>
      <c r="U43" s="3" t="s">
        <v>943</v>
      </c>
      <c r="V43" s="4"/>
    </row>
    <row r="44" spans="1:22" customFormat="1" x14ac:dyDescent="0.15">
      <c r="A44" s="3" t="s">
        <v>224</v>
      </c>
      <c r="B44" s="3" t="s">
        <v>225</v>
      </c>
      <c r="C44" s="3" t="s">
        <v>223</v>
      </c>
      <c r="D44" s="4">
        <v>2.9020000000000001</v>
      </c>
      <c r="E44" s="4">
        <v>0.77</v>
      </c>
      <c r="F44" s="4">
        <v>1.25</v>
      </c>
      <c r="G44" s="4">
        <v>8.1</v>
      </c>
      <c r="H44" s="5">
        <f t="shared" si="0"/>
        <v>6.4799999999999995</v>
      </c>
      <c r="I44" s="6" t="str">
        <f>HYPERLINK("http://genome.ucsc.edu/cgi-bin/hgTracks?clade=vertebrate&amp;org=Zebrafish&amp;db=danRer7&amp;position=chr13:33248149-33257863","chr13:33248149-33257863")</f>
        <v>chr13:33248149-33257863</v>
      </c>
      <c r="J44" s="6" t="str">
        <f>HYPERLINK("http://www.ncbi.nlm.nih.gov/entrez/query.fcgi?db=gene&amp;cmd=Retrieve&amp;list_uids=322614","322614")</f>
        <v>322614</v>
      </c>
      <c r="K44" s="6" t="str">
        <f>HYPERLINK("http://www.ncbi.nlm.nih.gov/entrez/query.fcgi?cmd=Search&amp;db=Nucleotide&amp;term=NM_199611","NM_199611")</f>
        <v>NM_199611</v>
      </c>
      <c r="L44" s="4" t="s">
        <v>74</v>
      </c>
      <c r="M44" s="4">
        <v>33248149</v>
      </c>
      <c r="N44" s="4">
        <v>33257863</v>
      </c>
      <c r="O44" s="4" t="s">
        <v>23</v>
      </c>
      <c r="P44" s="3" t="s">
        <v>226</v>
      </c>
      <c r="Q44" s="3" t="s">
        <v>227</v>
      </c>
      <c r="R44" s="4"/>
      <c r="S44" s="4"/>
      <c r="T44" s="3" t="s">
        <v>228</v>
      </c>
      <c r="U44" s="3" t="s">
        <v>229</v>
      </c>
      <c r="V44" s="4"/>
    </row>
    <row r="45" spans="1:22" customFormat="1" x14ac:dyDescent="0.15">
      <c r="A45" s="7" t="s">
        <v>1432</v>
      </c>
      <c r="B45" s="3" t="s">
        <v>1433</v>
      </c>
      <c r="C45" s="3" t="s">
        <v>1431</v>
      </c>
      <c r="D45" s="4">
        <v>3.4929999999999999</v>
      </c>
      <c r="E45" s="4">
        <v>0.28999999999999998</v>
      </c>
      <c r="F45" s="4">
        <v>0.62</v>
      </c>
      <c r="G45" s="4">
        <v>4.01</v>
      </c>
      <c r="H45" s="5">
        <f t="shared" si="0"/>
        <v>6.467741935483871</v>
      </c>
      <c r="I45" s="6" t="str">
        <f>HYPERLINK("http://genome.ucsc.edu/cgi-bin/hgTracks?clade=vertebrate&amp;org=Zebrafish&amp;db=danRer7&amp;position=chr15:33995848-33998901","chr15:33995848-33998901")</f>
        <v>chr15:33995848-33998901</v>
      </c>
      <c r="J45" s="6" t="str">
        <f>HYPERLINK("http://www.ncbi.nlm.nih.gov/entrez/query.fcgi?db=gene&amp;cmd=Retrieve&amp;list_uids=554167","554167")</f>
        <v>554167</v>
      </c>
      <c r="K45" s="6" t="str">
        <f>HYPERLINK("http://www.ncbi.nlm.nih.gov/entrez/query.fcgi?cmd=Search&amp;db=Nucleotide&amp;term=NM_001024447","NM_001024447")</f>
        <v>NM_001024447</v>
      </c>
      <c r="L45" s="4" t="s">
        <v>18</v>
      </c>
      <c r="M45" s="4">
        <v>33995848</v>
      </c>
      <c r="N45" s="4">
        <v>33998901</v>
      </c>
      <c r="O45" s="4" t="s">
        <v>23</v>
      </c>
      <c r="P45" s="3" t="s">
        <v>321</v>
      </c>
      <c r="Q45" s="3" t="s">
        <v>322</v>
      </c>
      <c r="R45" s="3" t="s">
        <v>1427</v>
      </c>
      <c r="S45" s="3" t="s">
        <v>1428</v>
      </c>
      <c r="T45" s="3" t="s">
        <v>1429</v>
      </c>
      <c r="U45" s="3" t="s">
        <v>1430</v>
      </c>
      <c r="V45" s="4"/>
    </row>
    <row r="46" spans="1:22" customFormat="1" x14ac:dyDescent="0.15">
      <c r="A46" s="3" t="s">
        <v>215</v>
      </c>
      <c r="B46" s="3" t="s">
        <v>216</v>
      </c>
      <c r="C46" s="3" t="s">
        <v>214</v>
      </c>
      <c r="D46" s="4">
        <v>3.3559999999999999</v>
      </c>
      <c r="E46" s="4">
        <v>6.65</v>
      </c>
      <c r="F46" s="4">
        <v>4.72</v>
      </c>
      <c r="G46" s="4">
        <v>29.72</v>
      </c>
      <c r="H46" s="5">
        <f t="shared" si="0"/>
        <v>6.2966101694915251</v>
      </c>
      <c r="I46" s="6" t="str">
        <f>HYPERLINK("http://genome.ucsc.edu/cgi-bin/hgTracks?clade=vertebrate&amp;org=Zebrafish&amp;db=danRer7&amp;position=chr6:47584-54749","chr6:47584-54749")</f>
        <v>chr6:47584-54749</v>
      </c>
      <c r="J46" s="6" t="str">
        <f>HYPERLINK("http://www.ncbi.nlm.nih.gov/entrez/query.fcgi?db=gene&amp;cmd=Retrieve&amp;list_uids=403021","403021")</f>
        <v>403021</v>
      </c>
      <c r="K46" s="6" t="str">
        <f>HYPERLINK("http://www.ncbi.nlm.nih.gov/entrez/query.fcgi?cmd=Search&amp;db=Nucleotide&amp;term=NM_205714","NM_205714")</f>
        <v>NM_205714</v>
      </c>
      <c r="L46" s="4" t="s">
        <v>46</v>
      </c>
      <c r="M46" s="4">
        <v>47584</v>
      </c>
      <c r="N46" s="4">
        <v>54749</v>
      </c>
      <c r="O46" s="4" t="s">
        <v>23</v>
      </c>
      <c r="P46" s="3" t="s">
        <v>217</v>
      </c>
      <c r="Q46" s="3" t="s">
        <v>218</v>
      </c>
      <c r="R46" s="3" t="s">
        <v>219</v>
      </c>
      <c r="S46" s="3" t="s">
        <v>220</v>
      </c>
      <c r="T46" s="4"/>
      <c r="U46" s="4"/>
      <c r="V46" s="4"/>
    </row>
    <row r="47" spans="1:22" customFormat="1" x14ac:dyDescent="0.15">
      <c r="A47" s="3" t="s">
        <v>1160</v>
      </c>
      <c r="B47" s="3" t="s">
        <v>1161</v>
      </c>
      <c r="C47" s="3" t="s">
        <v>1159</v>
      </c>
      <c r="D47" s="4">
        <v>0.67500000000000004</v>
      </c>
      <c r="E47" s="4">
        <v>1.43</v>
      </c>
      <c r="F47" s="4">
        <v>0.86</v>
      </c>
      <c r="G47" s="4">
        <v>5.34</v>
      </c>
      <c r="H47" s="5">
        <f t="shared" si="0"/>
        <v>6.2093023255813957</v>
      </c>
      <c r="I47" s="6" t="str">
        <f>HYPERLINK("http://genome.ucsc.edu/cgi-bin/hgTracks?clade=vertebrate&amp;org=Zebrafish&amp;db=danRer7&amp;position=chr25:18348089-18348986","chr25:18348089-18348986")</f>
        <v>chr25:18348089-18348986</v>
      </c>
      <c r="J47" s="6" t="str">
        <f>HYPERLINK("http://www.ncbi.nlm.nih.gov/entrez/query.fcgi?db=gene&amp;cmd=Retrieve&amp;list_uids=405886","405886")</f>
        <v>405886</v>
      </c>
      <c r="K47" s="6" t="str">
        <f>HYPERLINK("http://www.ncbi.nlm.nih.gov/entrez/query.fcgi?cmd=Search&amp;db=Nucleotide&amp;term=NM_212950","NM_212950")</f>
        <v>NM_212950</v>
      </c>
      <c r="L47" s="4" t="s">
        <v>60</v>
      </c>
      <c r="M47" s="4">
        <v>18348089</v>
      </c>
      <c r="N47" s="4">
        <v>18348986</v>
      </c>
      <c r="O47" s="4" t="s">
        <v>23</v>
      </c>
      <c r="P47" s="4"/>
      <c r="Q47" s="4"/>
      <c r="R47" s="3" t="s">
        <v>159</v>
      </c>
      <c r="S47" s="3" t="s">
        <v>160</v>
      </c>
      <c r="T47" s="3" t="s">
        <v>889</v>
      </c>
      <c r="U47" s="3" t="s">
        <v>890</v>
      </c>
      <c r="V47" s="4"/>
    </row>
    <row r="48" spans="1:22" customFormat="1" x14ac:dyDescent="0.15">
      <c r="A48" s="3" t="s">
        <v>1409</v>
      </c>
      <c r="B48" s="3" t="s">
        <v>1410</v>
      </c>
      <c r="C48" s="3" t="s">
        <v>1408</v>
      </c>
      <c r="D48" s="4">
        <v>2.1890000000000001</v>
      </c>
      <c r="E48" s="4">
        <v>1.19</v>
      </c>
      <c r="F48" s="4">
        <v>0.95</v>
      </c>
      <c r="G48" s="4">
        <v>5.84</v>
      </c>
      <c r="H48" s="5">
        <f t="shared" si="0"/>
        <v>6.147368421052632</v>
      </c>
      <c r="I48" s="6" t="str">
        <f>HYPERLINK("http://genome.ucsc.edu/cgi-bin/hgTracks?clade=vertebrate&amp;org=Zebrafish&amp;db=danRer7&amp;position=chr8:8319046-8349721","chr8:8319046-8349721")</f>
        <v>chr8:8319046-8349721</v>
      </c>
      <c r="J48" s="6" t="str">
        <f>HYPERLINK("http://www.ncbi.nlm.nih.gov/entrez/query.fcgi?db=gene&amp;cmd=Retrieve&amp;list_uids=114834","114834")</f>
        <v>114834</v>
      </c>
      <c r="K48" s="6" t="str">
        <f>HYPERLINK("http://www.ncbi.nlm.nih.gov/entrez/query.fcgi?cmd=Search&amp;db=Nucleotide&amp;term=NM_131848","NM_131848")</f>
        <v>NM_131848</v>
      </c>
      <c r="L48" s="4" t="s">
        <v>78</v>
      </c>
      <c r="M48" s="4">
        <v>8319046</v>
      </c>
      <c r="N48" s="4">
        <v>8349721</v>
      </c>
      <c r="O48" s="4" t="s">
        <v>19</v>
      </c>
      <c r="P48" s="3" t="s">
        <v>266</v>
      </c>
      <c r="Q48" s="3" t="s">
        <v>267</v>
      </c>
      <c r="R48" s="3" t="s">
        <v>524</v>
      </c>
      <c r="S48" s="3" t="s">
        <v>525</v>
      </c>
      <c r="T48" s="3" t="s">
        <v>963</v>
      </c>
      <c r="U48" s="3" t="s">
        <v>964</v>
      </c>
      <c r="V48" s="4"/>
    </row>
    <row r="49" spans="1:22" customFormat="1" x14ac:dyDescent="0.15">
      <c r="A49" s="3" t="s">
        <v>1379</v>
      </c>
      <c r="B49" s="3" t="s">
        <v>1380</v>
      </c>
      <c r="C49" s="3" t="s">
        <v>1378</v>
      </c>
      <c r="D49" s="4">
        <v>5.48</v>
      </c>
      <c r="E49" s="4">
        <v>3.55</v>
      </c>
      <c r="F49" s="4">
        <v>2.4300000000000002</v>
      </c>
      <c r="G49" s="4">
        <v>14.27</v>
      </c>
      <c r="H49" s="5">
        <f t="shared" si="0"/>
        <v>5.8724279835390938</v>
      </c>
      <c r="I49" s="6" t="str">
        <f>HYPERLINK("http://genome.ucsc.edu/cgi-bin/hgTracks?clade=vertebrate&amp;org=Zebrafish&amp;db=danRer7&amp;position=chr3:62721993-62749004","chr3:62721993-62749004")</f>
        <v>chr3:62721993-62749004</v>
      </c>
      <c r="J49" s="6" t="str">
        <f>HYPERLINK("http://www.ncbi.nlm.nih.gov/entrez/query.fcgi?db=gene&amp;cmd=Retrieve&amp;list_uids=793274","793274")</f>
        <v>793274</v>
      </c>
      <c r="K49" s="6" t="str">
        <f>HYPERLINK("http://www.ncbi.nlm.nih.gov/entrez/query.fcgi?cmd=Search&amp;db=Nucleotide&amp;term=NM_001105129","NM_001105129")</f>
        <v>NM_001105129</v>
      </c>
      <c r="L49" s="4" t="s">
        <v>47</v>
      </c>
      <c r="M49" s="4">
        <v>62721993</v>
      </c>
      <c r="N49" s="4">
        <v>62749004</v>
      </c>
      <c r="O49" s="4" t="s">
        <v>19</v>
      </c>
      <c r="P49" s="4"/>
      <c r="Q49" s="4"/>
      <c r="R49" s="4"/>
      <c r="S49" s="4"/>
      <c r="T49" s="4"/>
      <c r="U49" s="4"/>
      <c r="V49" s="4"/>
    </row>
    <row r="50" spans="1:22" customFormat="1" x14ac:dyDescent="0.15">
      <c r="A50" s="3" t="s">
        <v>1119</v>
      </c>
      <c r="B50" s="3" t="s">
        <v>1120</v>
      </c>
      <c r="C50" s="3" t="s">
        <v>1118</v>
      </c>
      <c r="D50" s="4">
        <v>1.1519999999999999</v>
      </c>
      <c r="E50" s="4">
        <v>2.41</v>
      </c>
      <c r="F50" s="4">
        <v>1.9</v>
      </c>
      <c r="G50" s="4">
        <v>11.1</v>
      </c>
      <c r="H50" s="5">
        <f t="shared" si="0"/>
        <v>5.8421052631578947</v>
      </c>
      <c r="I50" s="6" t="str">
        <f>HYPERLINK("http://genome.ucsc.edu/cgi-bin/hgTracks?clade=vertebrate&amp;org=Zebrafish&amp;db=danRer7&amp;position=Zv9_NA584:182-7817","Zv9_NA584:182-7817")</f>
        <v>Zv9_NA584:182-7817</v>
      </c>
      <c r="J50" s="6" t="str">
        <f>HYPERLINK("http://www.ncbi.nlm.nih.gov/entrez/query.fcgi?db=gene&amp;cmd=Retrieve&amp;list_uids=767699","767699")</f>
        <v>767699</v>
      </c>
      <c r="K50" s="6" t="str">
        <f>HYPERLINK("http://www.ncbi.nlm.nih.gov/entrez/query.fcgi?cmd=Search&amp;db=Nucleotide&amp;term=NM_001076637","NM_001076637")</f>
        <v>NM_001076637</v>
      </c>
      <c r="L50" s="4" t="s">
        <v>1122</v>
      </c>
      <c r="M50" s="4">
        <v>182</v>
      </c>
      <c r="N50" s="4">
        <v>7817</v>
      </c>
      <c r="O50" s="4" t="s">
        <v>19</v>
      </c>
      <c r="P50" s="3" t="s">
        <v>37</v>
      </c>
      <c r="Q50" s="3" t="s">
        <v>38</v>
      </c>
      <c r="R50" s="3" t="s">
        <v>67</v>
      </c>
      <c r="S50" s="3" t="s">
        <v>68</v>
      </c>
      <c r="T50" s="3" t="s">
        <v>347</v>
      </c>
      <c r="U50" s="3" t="s">
        <v>348</v>
      </c>
      <c r="V50" s="4"/>
    </row>
    <row r="51" spans="1:22" customFormat="1" x14ac:dyDescent="0.15">
      <c r="A51" s="3" t="s">
        <v>467</v>
      </c>
      <c r="B51" s="3" t="s">
        <v>468</v>
      </c>
      <c r="C51" s="3" t="s">
        <v>466</v>
      </c>
      <c r="D51" s="4">
        <v>2.5019999999999998</v>
      </c>
      <c r="E51" s="4">
        <v>0.5</v>
      </c>
      <c r="F51" s="4">
        <v>0.7</v>
      </c>
      <c r="G51" s="4">
        <v>4.03</v>
      </c>
      <c r="H51" s="5">
        <f t="shared" si="0"/>
        <v>5.757142857142858</v>
      </c>
      <c r="I51" s="6" t="str">
        <f>HYPERLINK("http://genome.ucsc.edu/cgi-bin/hgTracks?clade=vertebrate&amp;org=Zebrafish&amp;db=danRer7&amp;position=chr3:40942743-40950564","chr3:40942743-40950564")</f>
        <v>chr3:40942743-40950564</v>
      </c>
      <c r="J51" s="6" t="str">
        <f>HYPERLINK("http://www.ncbi.nlm.nih.gov/entrez/query.fcgi?db=gene&amp;cmd=Retrieve&amp;list_uids=492759","492759")</f>
        <v>492759</v>
      </c>
      <c r="K51" s="6" t="str">
        <f>HYPERLINK("http://www.ncbi.nlm.nih.gov/entrez/query.fcgi?cmd=Search&amp;db=Nucleotide&amp;term=NM_001007400","NM_001007400")</f>
        <v>NM_001007400</v>
      </c>
      <c r="L51" s="4" t="s">
        <v>47</v>
      </c>
      <c r="M51" s="4">
        <v>40942743</v>
      </c>
      <c r="N51" s="4">
        <v>40950564</v>
      </c>
      <c r="O51" s="4" t="s">
        <v>19</v>
      </c>
      <c r="P51" s="3" t="s">
        <v>141</v>
      </c>
      <c r="Q51" s="3" t="s">
        <v>142</v>
      </c>
      <c r="R51" s="4"/>
      <c r="S51" s="4"/>
      <c r="T51" s="3" t="s">
        <v>451</v>
      </c>
      <c r="U51" s="3" t="s">
        <v>452</v>
      </c>
      <c r="V51" s="4"/>
    </row>
    <row r="52" spans="1:22" customFormat="1" x14ac:dyDescent="0.15">
      <c r="A52" s="3" t="s">
        <v>1601</v>
      </c>
      <c r="B52" s="3" t="s">
        <v>1601</v>
      </c>
      <c r="C52" s="3" t="s">
        <v>1600</v>
      </c>
      <c r="D52" s="4">
        <v>1.4750000000000001</v>
      </c>
      <c r="E52" s="4">
        <v>4.42</v>
      </c>
      <c r="F52" s="4">
        <v>2.21</v>
      </c>
      <c r="G52" s="4">
        <v>12.7</v>
      </c>
      <c r="H52" s="5">
        <f t="shared" si="0"/>
        <v>5.746606334841629</v>
      </c>
      <c r="I52" s="6" t="str">
        <f>HYPERLINK("http://genome.ucsc.edu/cgi-bin/hgTracks?clade=vertebrate&amp;org=Zebrafish&amp;db=danRer7&amp;position=Zv9_NA996:15149-16832","Zv9_NA996:15149-16832")</f>
        <v>Zv9_NA996:15149-16832</v>
      </c>
      <c r="J52" s="6" t="str">
        <f>HYPERLINK("http://www.ncbi.nlm.nih.gov/entrez/query.fcgi?db=gene&amp;cmd=Retrieve&amp;list_uids=393460","393460")</f>
        <v>393460</v>
      </c>
      <c r="K52" s="6" t="str">
        <f>HYPERLINK("http://www.ncbi.nlm.nih.gov/entrez/query.fcgi?cmd=Search&amp;db=Nucleotide&amp;term=NM_200488","NM_200488")</f>
        <v>NM_200488</v>
      </c>
      <c r="L52" s="4" t="s">
        <v>1602</v>
      </c>
      <c r="M52" s="4">
        <v>15149</v>
      </c>
      <c r="N52" s="4">
        <v>16832</v>
      </c>
      <c r="O52" s="4" t="s">
        <v>23</v>
      </c>
      <c r="P52" s="3" t="s">
        <v>65</v>
      </c>
      <c r="Q52" s="3" t="s">
        <v>66</v>
      </c>
      <c r="R52" s="4"/>
      <c r="S52" s="4"/>
      <c r="T52" s="3" t="s">
        <v>24</v>
      </c>
      <c r="U52" s="3" t="s">
        <v>25</v>
      </c>
      <c r="V52" s="4"/>
    </row>
    <row r="53" spans="1:22" customFormat="1" x14ac:dyDescent="0.15">
      <c r="A53" s="3" t="s">
        <v>1451</v>
      </c>
      <c r="B53" s="3" t="s">
        <v>1452</v>
      </c>
      <c r="C53" s="3" t="s">
        <v>1450</v>
      </c>
      <c r="D53" s="4">
        <v>5.649</v>
      </c>
      <c r="E53" s="4">
        <v>0.23</v>
      </c>
      <c r="F53" s="4">
        <v>1.17</v>
      </c>
      <c r="G53" s="4">
        <v>6.68</v>
      </c>
      <c r="H53" s="5">
        <f t="shared" si="0"/>
        <v>5.7094017094017095</v>
      </c>
      <c r="I53" s="6" t="str">
        <f>HYPERLINK("http://genome.ucsc.edu/cgi-bin/hgTracks?clade=vertebrate&amp;org=Zebrafish&amp;db=danRer7&amp;position=chr25:23367293-23427572","chr25:23367293-23427572")</f>
        <v>chr25:23367293-23427572</v>
      </c>
      <c r="J53" s="6" t="str">
        <f>HYPERLINK("http://www.ncbi.nlm.nih.gov/entrez/query.fcgi?db=gene&amp;cmd=Retrieve&amp;list_uids=564412","564412")</f>
        <v>564412</v>
      </c>
      <c r="K53" s="6" t="str">
        <f>HYPERLINK("http://www.ncbi.nlm.nih.gov/entrez/query.fcgi?cmd=Search&amp;db=Nucleotide&amp;term=NM_001039929","NM_001039929")</f>
        <v>NM_001039929</v>
      </c>
      <c r="L53" s="4" t="s">
        <v>60</v>
      </c>
      <c r="M53" s="4">
        <v>23367293</v>
      </c>
      <c r="N53" s="4">
        <v>23427572</v>
      </c>
      <c r="O53" s="4" t="s">
        <v>23</v>
      </c>
      <c r="P53" s="3" t="s">
        <v>65</v>
      </c>
      <c r="Q53" s="3" t="s">
        <v>66</v>
      </c>
      <c r="R53" s="3" t="s">
        <v>67</v>
      </c>
      <c r="S53" s="3" t="s">
        <v>68</v>
      </c>
      <c r="T53" s="4"/>
      <c r="U53" s="4"/>
      <c r="V53" s="4"/>
    </row>
    <row r="54" spans="1:22" customFormat="1" x14ac:dyDescent="0.15">
      <c r="A54" s="3" t="s">
        <v>785</v>
      </c>
      <c r="B54" s="3" t="s">
        <v>786</v>
      </c>
      <c r="C54" s="3" t="s">
        <v>784</v>
      </c>
      <c r="D54" s="4">
        <v>2.508</v>
      </c>
      <c r="E54" s="4">
        <v>7.91</v>
      </c>
      <c r="F54" s="4">
        <v>17.64</v>
      </c>
      <c r="G54" s="4">
        <v>99.23</v>
      </c>
      <c r="H54" s="5">
        <f t="shared" si="0"/>
        <v>5.6252834467120181</v>
      </c>
      <c r="I54" s="6" t="str">
        <f>HYPERLINK("http://genome.ucsc.edu/cgi-bin/hgTracks?clade=vertebrate&amp;org=Zebrafish&amp;db=danRer7&amp;position=chr20:7029615-7033442","chr20:7029615-7033442")</f>
        <v>chr20:7029615-7033442</v>
      </c>
      <c r="J54" s="6" t="str">
        <f>HYPERLINK("http://www.ncbi.nlm.nih.gov/entrez/query.fcgi?db=gene&amp;cmd=Retrieve&amp;list_uids=317638","317638")</f>
        <v>317638</v>
      </c>
      <c r="K54" s="6" t="str">
        <f>HYPERLINK("http://www.ncbi.nlm.nih.gov/entrez/query.fcgi?cmd=Search&amp;db=Nucleotide&amp;term=NM_173283","NM_173283")</f>
        <v>NM_173283</v>
      </c>
      <c r="L54" s="4" t="s">
        <v>96</v>
      </c>
      <c r="M54" s="4">
        <v>7029615</v>
      </c>
      <c r="N54" s="4">
        <v>7033442</v>
      </c>
      <c r="O54" s="4" t="s">
        <v>23</v>
      </c>
      <c r="P54" s="3" t="s">
        <v>787</v>
      </c>
      <c r="Q54" s="3" t="s">
        <v>788</v>
      </c>
      <c r="R54" s="3" t="s">
        <v>115</v>
      </c>
      <c r="S54" s="3" t="s">
        <v>116</v>
      </c>
      <c r="T54" s="3" t="s">
        <v>789</v>
      </c>
      <c r="U54" s="3" t="s">
        <v>790</v>
      </c>
      <c r="V54" s="4"/>
    </row>
    <row r="55" spans="1:22" customFormat="1" x14ac:dyDescent="0.15">
      <c r="A55" s="3" t="s">
        <v>961</v>
      </c>
      <c r="B55" s="3" t="s">
        <v>962</v>
      </c>
      <c r="C55" s="3" t="s">
        <v>960</v>
      </c>
      <c r="D55" s="4">
        <v>2.194</v>
      </c>
      <c r="E55" s="4">
        <v>15.65</v>
      </c>
      <c r="F55" s="4">
        <v>11.08</v>
      </c>
      <c r="G55" s="4">
        <v>60</v>
      </c>
      <c r="H55" s="5">
        <f t="shared" si="0"/>
        <v>5.4151624548736459</v>
      </c>
      <c r="I55" s="6" t="str">
        <f>HYPERLINK("http://genome.ucsc.edu/cgi-bin/hgTracks?clade=vertebrate&amp;org=Zebrafish&amp;db=danRer7&amp;position=chr22:11547555-11548650","chr22:11547555-11548650")</f>
        <v>chr22:11547555-11548650</v>
      </c>
      <c r="J55" s="6" t="str">
        <f>HYPERLINK("http://www.ncbi.nlm.nih.gov/entrez/query.fcgi?db=gene&amp;cmd=Retrieve&amp;list_uids=393805","393805")</f>
        <v>393805</v>
      </c>
      <c r="K55" s="6" t="str">
        <f>HYPERLINK("http://www.ncbi.nlm.nih.gov/entrez/query.fcgi?cmd=Search&amp;db=Nucleotide&amp;term=NM_200832","NM_200832")</f>
        <v>NM_200832</v>
      </c>
      <c r="L55" s="4" t="s">
        <v>103</v>
      </c>
      <c r="M55" s="4">
        <v>11547555</v>
      </c>
      <c r="N55" s="4">
        <v>11548650</v>
      </c>
      <c r="O55" s="4" t="s">
        <v>19</v>
      </c>
      <c r="P55" s="3" t="s">
        <v>65</v>
      </c>
      <c r="Q55" s="3" t="s">
        <v>66</v>
      </c>
      <c r="R55" s="3" t="s">
        <v>958</v>
      </c>
      <c r="S55" s="3" t="s">
        <v>959</v>
      </c>
      <c r="T55" s="3" t="s">
        <v>24</v>
      </c>
      <c r="U55" s="3" t="s">
        <v>25</v>
      </c>
      <c r="V55" s="4"/>
    </row>
    <row r="56" spans="1:22" customFormat="1" x14ac:dyDescent="0.15">
      <c r="A56" s="3" t="s">
        <v>1601</v>
      </c>
      <c r="B56" s="3" t="s">
        <v>1601</v>
      </c>
      <c r="C56" s="3" t="s">
        <v>1600</v>
      </c>
      <c r="D56" s="4">
        <v>1.4119999999999999</v>
      </c>
      <c r="E56" s="4">
        <v>12.47</v>
      </c>
      <c r="F56" s="4">
        <v>5.93</v>
      </c>
      <c r="G56" s="4">
        <v>32.03</v>
      </c>
      <c r="H56" s="5">
        <f t="shared" si="0"/>
        <v>5.4013490725126481</v>
      </c>
      <c r="I56" s="6" t="str">
        <f>HYPERLINK("http://genome.ucsc.edu/cgi-bin/hgTracks?clade=vertebrate&amp;org=Zebrafish&amp;db=danRer7&amp;position=chr6:38251-45111","chr6:38251-45111")</f>
        <v>chr6:38251-45111</v>
      </c>
      <c r="J56" s="6" t="str">
        <f>HYPERLINK("http://www.ncbi.nlm.nih.gov/entrez/query.fcgi?db=gene&amp;cmd=Retrieve&amp;list_uids=393460","393460")</f>
        <v>393460</v>
      </c>
      <c r="K56" s="6" t="str">
        <f>HYPERLINK("http://www.ncbi.nlm.nih.gov/entrez/query.fcgi?cmd=Search&amp;db=Nucleotide&amp;term=NM_200488","NM_200488")</f>
        <v>NM_200488</v>
      </c>
      <c r="L56" s="4" t="s">
        <v>46</v>
      </c>
      <c r="M56" s="4">
        <v>38251</v>
      </c>
      <c r="N56" s="4">
        <v>45111</v>
      </c>
      <c r="O56" s="4" t="s">
        <v>23</v>
      </c>
      <c r="P56" s="3" t="s">
        <v>65</v>
      </c>
      <c r="Q56" s="3" t="s">
        <v>66</v>
      </c>
      <c r="R56" s="4"/>
      <c r="S56" s="4"/>
      <c r="T56" s="3" t="s">
        <v>24</v>
      </c>
      <c r="U56" s="3" t="s">
        <v>25</v>
      </c>
      <c r="V56" s="4"/>
    </row>
    <row r="57" spans="1:22" customFormat="1" x14ac:dyDescent="0.15">
      <c r="A57" s="3" t="s">
        <v>709</v>
      </c>
      <c r="B57" s="3" t="s">
        <v>710</v>
      </c>
      <c r="C57" s="3" t="s">
        <v>708</v>
      </c>
      <c r="D57" s="4">
        <v>0.64400000000000002</v>
      </c>
      <c r="E57" s="4">
        <v>0.23</v>
      </c>
      <c r="F57" s="4">
        <v>0.76</v>
      </c>
      <c r="G57" s="4">
        <v>4.0599999999999996</v>
      </c>
      <c r="H57" s="5">
        <f t="shared" si="0"/>
        <v>5.3421052631578938</v>
      </c>
      <c r="I57" s="6" t="str">
        <f>HYPERLINK("http://genome.ucsc.edu/cgi-bin/hgTracks?clade=vertebrate&amp;org=Zebrafish&amp;db=danRer7&amp;position=chr16:53816350-53818986","chr16:53816350-53818986")</f>
        <v>chr16:53816350-53818986</v>
      </c>
      <c r="J57" s="6" t="str">
        <f>HYPERLINK("http://www.ncbi.nlm.nih.gov/entrez/query.fcgi?db=gene&amp;cmd=Retrieve&amp;list_uids=594858","594858")</f>
        <v>594858</v>
      </c>
      <c r="K57" s="6" t="str">
        <f>HYPERLINK("http://www.ncbi.nlm.nih.gov/entrez/query.fcgi?cmd=Search&amp;db=Nucleotide&amp;term=NM_001023579","NM_001023579")</f>
        <v>NM_001023579</v>
      </c>
      <c r="L57" s="4" t="s">
        <v>71</v>
      </c>
      <c r="M57" s="4">
        <v>53816350</v>
      </c>
      <c r="N57" s="4">
        <v>53818986</v>
      </c>
      <c r="O57" s="4" t="s">
        <v>23</v>
      </c>
      <c r="P57" s="3" t="s">
        <v>711</v>
      </c>
      <c r="Q57" s="3" t="s">
        <v>712</v>
      </c>
      <c r="R57" s="3" t="s">
        <v>115</v>
      </c>
      <c r="S57" s="3" t="s">
        <v>116</v>
      </c>
      <c r="T57" s="3" t="s">
        <v>139</v>
      </c>
      <c r="U57" s="3" t="s">
        <v>140</v>
      </c>
      <c r="V57" s="4"/>
    </row>
    <row r="58" spans="1:22" customFormat="1" x14ac:dyDescent="0.15">
      <c r="A58" s="7" t="s">
        <v>979</v>
      </c>
      <c r="B58" s="3" t="s">
        <v>980</v>
      </c>
      <c r="C58" s="3" t="s">
        <v>978</v>
      </c>
      <c r="D58" s="4">
        <v>7.15</v>
      </c>
      <c r="E58" s="4">
        <v>9.93</v>
      </c>
      <c r="F58" s="4">
        <v>35.08</v>
      </c>
      <c r="G58" s="4">
        <v>183.74</v>
      </c>
      <c r="H58" s="5">
        <f t="shared" si="0"/>
        <v>5.2377423033067281</v>
      </c>
      <c r="I58" s="6" t="str">
        <f>HYPERLINK("http://genome.ucsc.edu/cgi-bin/hgTracks?clade=vertebrate&amp;org=Zebrafish&amp;db=danRer7&amp;position=chr8:25134468-25148890","chr8:25134468-25148890")</f>
        <v>chr8:25134468-25148890</v>
      </c>
      <c r="J58" s="6" t="str">
        <f>HYPERLINK("http://www.ncbi.nlm.nih.gov/entrez/query.fcgi?db=gene&amp;cmd=Retrieve&amp;list_uids=406397","406397")</f>
        <v>406397</v>
      </c>
      <c r="K58" s="6" t="str">
        <f>HYPERLINK("http://www.ncbi.nlm.nih.gov/entrez/query.fcgi?cmd=Search&amp;db=Nucleotide&amp;term=NM_213123","NM_213123")</f>
        <v>NM_213123</v>
      </c>
      <c r="L58" s="4" t="s">
        <v>78</v>
      </c>
      <c r="M58" s="4">
        <v>25134468</v>
      </c>
      <c r="N58" s="4">
        <v>25148890</v>
      </c>
      <c r="O58" s="4" t="s">
        <v>23</v>
      </c>
      <c r="P58" s="3" t="s">
        <v>981</v>
      </c>
      <c r="Q58" s="3" t="s">
        <v>982</v>
      </c>
      <c r="R58" s="3" t="s">
        <v>976</v>
      </c>
      <c r="S58" s="3" t="s">
        <v>977</v>
      </c>
      <c r="T58" s="3" t="s">
        <v>132</v>
      </c>
      <c r="U58" s="3" t="s">
        <v>133</v>
      </c>
      <c r="V58" s="4"/>
    </row>
    <row r="59" spans="1:22" customFormat="1" x14ac:dyDescent="0.15">
      <c r="A59" s="3" t="s">
        <v>969</v>
      </c>
      <c r="B59" s="3" t="s">
        <v>970</v>
      </c>
      <c r="C59" s="3" t="s">
        <v>968</v>
      </c>
      <c r="D59" s="4">
        <v>11.273999999999999</v>
      </c>
      <c r="E59" s="4">
        <v>12.92</v>
      </c>
      <c r="F59" s="4">
        <v>14.26</v>
      </c>
      <c r="G59" s="4">
        <v>72.25</v>
      </c>
      <c r="H59" s="5">
        <f t="shared" si="0"/>
        <v>5.066619915848527</v>
      </c>
      <c r="I59" s="6" t="str">
        <f>HYPERLINK("http://genome.ucsc.edu/cgi-bin/hgTracks?clade=vertebrate&amp;org=Zebrafish&amp;db=danRer7&amp;position=chr8:20976907-20987559","chr8:20976907-20987559")</f>
        <v>chr8:20976907-20987559</v>
      </c>
      <c r="J59" s="6" t="str">
        <f>HYPERLINK("http://www.ncbi.nlm.nih.gov/entrez/query.fcgi?db=gene&amp;cmd=Retrieve&amp;list_uids=373121","373121")</f>
        <v>373121</v>
      </c>
      <c r="K59" s="6" t="str">
        <f>HYPERLINK("http://www.ncbi.nlm.nih.gov/entrez/query.fcgi?cmd=Search&amp;db=Nucleotide&amp;term=NM_194402","NM_194402")</f>
        <v>NM_194402</v>
      </c>
      <c r="L59" s="4" t="s">
        <v>78</v>
      </c>
      <c r="M59" s="4">
        <v>20976907</v>
      </c>
      <c r="N59" s="4">
        <v>20987559</v>
      </c>
      <c r="O59" s="4" t="s">
        <v>23</v>
      </c>
      <c r="P59" s="3" t="s">
        <v>86</v>
      </c>
      <c r="Q59" s="3" t="s">
        <v>87</v>
      </c>
      <c r="R59" s="4"/>
      <c r="S59" s="4"/>
      <c r="T59" s="3" t="s">
        <v>325</v>
      </c>
      <c r="U59" s="3" t="s">
        <v>326</v>
      </c>
      <c r="V59" s="4"/>
    </row>
    <row r="60" spans="1:22" customFormat="1" x14ac:dyDescent="0.15">
      <c r="A60" s="3" t="s">
        <v>892</v>
      </c>
      <c r="B60" s="3" t="s">
        <v>893</v>
      </c>
      <c r="C60" s="3" t="s">
        <v>891</v>
      </c>
      <c r="D60" s="4">
        <v>3.0550000000000002</v>
      </c>
      <c r="E60" s="4">
        <v>27.21</v>
      </c>
      <c r="F60" s="4">
        <v>17.16</v>
      </c>
      <c r="G60" s="4">
        <v>84.52</v>
      </c>
      <c r="H60" s="5">
        <f t="shared" si="0"/>
        <v>4.9254079254079253</v>
      </c>
      <c r="I60" s="6" t="str">
        <f>HYPERLINK("http://genome.ucsc.edu/cgi-bin/hgTracks?clade=vertebrate&amp;org=Zebrafish&amp;db=danRer7&amp;position=chr8:33224978-33234047","chr8:33224978-33234047")</f>
        <v>chr8:33224978-33234047</v>
      </c>
      <c r="J60" s="6" t="str">
        <f>HYPERLINK("http://www.ncbi.nlm.nih.gov/entrez/query.fcgi?db=gene&amp;cmd=Retrieve&amp;list_uids=393096","393096")</f>
        <v>393096</v>
      </c>
      <c r="K60" s="6" t="str">
        <f>HYPERLINK("http://www.ncbi.nlm.nih.gov/entrez/query.fcgi?cmd=Search&amp;db=Nucleotide&amp;term=NM_200128","NM_200128")</f>
        <v>NM_200128</v>
      </c>
      <c r="L60" s="4" t="s">
        <v>78</v>
      </c>
      <c r="M60" s="4">
        <v>33224978</v>
      </c>
      <c r="N60" s="4">
        <v>33234047</v>
      </c>
      <c r="O60" s="4" t="s">
        <v>19</v>
      </c>
      <c r="P60" s="3" t="s">
        <v>238</v>
      </c>
      <c r="Q60" s="3" t="s">
        <v>239</v>
      </c>
      <c r="R60" s="4"/>
      <c r="S60" s="4"/>
      <c r="T60" s="3" t="s">
        <v>894</v>
      </c>
      <c r="U60" s="3" t="s">
        <v>895</v>
      </c>
      <c r="V60" s="4"/>
    </row>
    <row r="61" spans="1:22" customFormat="1" x14ac:dyDescent="0.15">
      <c r="A61" s="3" t="s">
        <v>94</v>
      </c>
      <c r="B61" s="3" t="s">
        <v>95</v>
      </c>
      <c r="C61" s="3" t="s">
        <v>93</v>
      </c>
      <c r="D61" s="4">
        <v>3.0870000000000002</v>
      </c>
      <c r="E61" s="4">
        <v>9.81</v>
      </c>
      <c r="F61" s="4">
        <v>7.47</v>
      </c>
      <c r="G61" s="4">
        <v>35.39</v>
      </c>
      <c r="H61" s="5">
        <f t="shared" si="0"/>
        <v>4.7376171352074969</v>
      </c>
      <c r="I61" s="6" t="str">
        <f>HYPERLINK("http://genome.ucsc.edu/cgi-bin/hgTracks?clade=vertebrate&amp;org=Zebrafish&amp;db=danRer7&amp;position=chr20:30948503-30957047","chr20:30948503-30957047")</f>
        <v>chr20:30948503-30957047</v>
      </c>
      <c r="J61" s="6" t="str">
        <f>HYPERLINK("http://www.ncbi.nlm.nih.gov/entrez/query.fcgi?db=gene&amp;cmd=Retrieve&amp;list_uids=30643","30643")</f>
        <v>30643</v>
      </c>
      <c r="K61" s="6" t="str">
        <f>HYPERLINK("http://www.ncbi.nlm.nih.gov/entrez/query.fcgi?cmd=Search&amp;db=Nucleotide&amp;term=NM_131370","NM_131370")</f>
        <v>NM_131370</v>
      </c>
      <c r="L61" s="4" t="s">
        <v>96</v>
      </c>
      <c r="M61" s="4">
        <v>30948503</v>
      </c>
      <c r="N61" s="4">
        <v>30957047</v>
      </c>
      <c r="O61" s="4" t="s">
        <v>19</v>
      </c>
      <c r="P61" s="3" t="s">
        <v>37</v>
      </c>
      <c r="Q61" s="3" t="s">
        <v>38</v>
      </c>
      <c r="R61" s="4"/>
      <c r="S61" s="4"/>
      <c r="T61" s="3" t="s">
        <v>97</v>
      </c>
      <c r="U61" s="3" t="s">
        <v>98</v>
      </c>
      <c r="V61" s="4"/>
    </row>
    <row r="62" spans="1:22" customFormat="1" x14ac:dyDescent="0.15">
      <c r="A62" s="3" t="s">
        <v>1382</v>
      </c>
      <c r="B62" s="3" t="s">
        <v>1383</v>
      </c>
      <c r="C62" s="3" t="s">
        <v>1381</v>
      </c>
      <c r="D62" s="4">
        <v>14.49</v>
      </c>
      <c r="E62" s="4">
        <v>16.059999999999999</v>
      </c>
      <c r="F62" s="4">
        <v>12.19</v>
      </c>
      <c r="G62" s="4">
        <v>57.09</v>
      </c>
      <c r="H62" s="5">
        <f t="shared" si="0"/>
        <v>4.6833470057424123</v>
      </c>
      <c r="I62" s="6" t="str">
        <f>HYPERLINK("http://genome.ucsc.edu/cgi-bin/hgTracks?clade=vertebrate&amp;org=Zebrafish&amp;db=danRer7&amp;position=chr3:1880241-1904031","chr3:1880241-1904031")</f>
        <v>chr3:1880241-1904031</v>
      </c>
      <c r="J62" s="6" t="str">
        <f>HYPERLINK("http://www.ncbi.nlm.nih.gov/entrez/query.fcgi?db=gene&amp;cmd=Retrieve&amp;list_uids=100037309","100037309")</f>
        <v>100037309</v>
      </c>
      <c r="K62" s="6" t="str">
        <f>HYPERLINK("http://www.ncbi.nlm.nih.gov/entrez/query.fcgi?cmd=Search&amp;db=Nucleotide&amp;term=NM_001089466","NM_001089466")</f>
        <v>NM_001089466</v>
      </c>
      <c r="L62" s="4" t="s">
        <v>47</v>
      </c>
      <c r="M62" s="4">
        <v>1880241</v>
      </c>
      <c r="N62" s="4">
        <v>1904031</v>
      </c>
      <c r="O62" s="4" t="s">
        <v>23</v>
      </c>
      <c r="P62" s="3" t="s">
        <v>1384</v>
      </c>
      <c r="Q62" s="3" t="s">
        <v>1385</v>
      </c>
      <c r="R62" s="3" t="s">
        <v>1386</v>
      </c>
      <c r="S62" s="3" t="s">
        <v>1387</v>
      </c>
      <c r="T62" s="3" t="s">
        <v>230</v>
      </c>
      <c r="U62" s="3" t="s">
        <v>231</v>
      </c>
      <c r="V62" s="4"/>
    </row>
    <row r="63" spans="1:22" customFormat="1" x14ac:dyDescent="0.15">
      <c r="A63" s="3" t="s">
        <v>1625</v>
      </c>
      <c r="B63" s="3" t="s">
        <v>1626</v>
      </c>
      <c r="C63" s="3" t="s">
        <v>1624</v>
      </c>
      <c r="D63" s="4">
        <v>1.79</v>
      </c>
      <c r="E63" s="4">
        <v>2.0699999999999998</v>
      </c>
      <c r="F63" s="4">
        <v>1.8</v>
      </c>
      <c r="G63" s="4">
        <v>8.19</v>
      </c>
      <c r="H63" s="5">
        <f t="shared" si="0"/>
        <v>4.55</v>
      </c>
      <c r="I63" s="6" t="str">
        <f>HYPERLINK("http://genome.ucsc.edu/cgi-bin/hgTracks?clade=vertebrate&amp;org=Zebrafish&amp;db=danRer7&amp;position=chr10:27617747-27620724","chr10:27617747-27620724")</f>
        <v>chr10:27617747-27620724</v>
      </c>
      <c r="J63" s="6" t="str">
        <f>HYPERLINK("http://www.ncbi.nlm.nih.gov/entrez/query.fcgi?db=gene&amp;cmd=Retrieve&amp;list_uids=777606","777606")</f>
        <v>777606</v>
      </c>
      <c r="K63" s="6" t="str">
        <f>HYPERLINK("http://www.ncbi.nlm.nih.gov/entrez/query.fcgi?cmd=Search&amp;db=Nucleotide&amp;term=NM_001077618","NM_001077618")</f>
        <v>NM_001077618</v>
      </c>
      <c r="L63" s="4" t="s">
        <v>92</v>
      </c>
      <c r="M63" s="4">
        <v>27617747</v>
      </c>
      <c r="N63" s="4">
        <v>27620724</v>
      </c>
      <c r="O63" s="4" t="s">
        <v>19</v>
      </c>
      <c r="P63" s="3" t="s">
        <v>65</v>
      </c>
      <c r="Q63" s="3" t="s">
        <v>66</v>
      </c>
      <c r="R63" s="3" t="s">
        <v>67</v>
      </c>
      <c r="S63" s="3" t="s">
        <v>68</v>
      </c>
      <c r="T63" s="3" t="s">
        <v>24</v>
      </c>
      <c r="U63" s="3" t="s">
        <v>25</v>
      </c>
      <c r="V63" s="4"/>
    </row>
    <row r="64" spans="1:22" customFormat="1" x14ac:dyDescent="0.15">
      <c r="A64" s="3" t="s">
        <v>1567</v>
      </c>
      <c r="B64" s="3" t="s">
        <v>1567</v>
      </c>
      <c r="C64" s="3" t="s">
        <v>1566</v>
      </c>
      <c r="D64" s="4">
        <v>0.71099999999999997</v>
      </c>
      <c r="E64" s="4">
        <v>1.18</v>
      </c>
      <c r="F64" s="4">
        <v>1.1299999999999999</v>
      </c>
      <c r="G64" s="4">
        <v>5.0999999999999996</v>
      </c>
      <c r="H64" s="5">
        <f t="shared" si="0"/>
        <v>4.5132743362831862</v>
      </c>
      <c r="I64" s="6" t="str">
        <f>HYPERLINK("http://genome.ucsc.edu/cgi-bin/hgTracks?clade=vertebrate&amp;org=Zebrafish&amp;db=danRer7&amp;position=chr14:19055668-19056708","chr14:19055668-19056708")</f>
        <v>chr14:19055668-19056708</v>
      </c>
      <c r="J64" s="6" t="str">
        <f>HYPERLINK("http://www.ncbi.nlm.nih.gov/entrez/query.fcgi?db=gene&amp;cmd=Retrieve&amp;list_uids=565497","565497")</f>
        <v>565497</v>
      </c>
      <c r="K64" s="6" t="str">
        <f>HYPERLINK("http://www.ncbi.nlm.nih.gov/entrez/query.fcgi?cmd=Search&amp;db=Nucleotide&amp;term=NM_001198751","NM_001198751")</f>
        <v>NM_001198751</v>
      </c>
      <c r="L64" s="4" t="s">
        <v>64</v>
      </c>
      <c r="M64" s="4">
        <v>19055668</v>
      </c>
      <c r="N64" s="4">
        <v>19056708</v>
      </c>
      <c r="O64" s="4" t="s">
        <v>23</v>
      </c>
      <c r="P64" s="3" t="s">
        <v>426</v>
      </c>
      <c r="Q64" s="3" t="s">
        <v>427</v>
      </c>
      <c r="R64" s="4"/>
      <c r="S64" s="4"/>
      <c r="T64" s="3" t="s">
        <v>1269</v>
      </c>
      <c r="U64" s="3" t="s">
        <v>1270</v>
      </c>
      <c r="V64" s="4"/>
    </row>
    <row r="65" spans="1:22" customFormat="1" x14ac:dyDescent="0.15">
      <c r="A65" s="3" t="s">
        <v>832</v>
      </c>
      <c r="B65" s="3" t="s">
        <v>833</v>
      </c>
      <c r="C65" s="3" t="s">
        <v>831</v>
      </c>
      <c r="D65" s="4">
        <v>1.8660000000000001</v>
      </c>
      <c r="E65" s="4">
        <v>0.37</v>
      </c>
      <c r="F65" s="4">
        <v>1.1200000000000001</v>
      </c>
      <c r="G65" s="4">
        <v>4.93</v>
      </c>
      <c r="H65" s="5">
        <f t="shared" si="0"/>
        <v>4.4017857142857135</v>
      </c>
      <c r="I65" s="6" t="str">
        <f>HYPERLINK("http://genome.ucsc.edu/cgi-bin/hgTracks?clade=vertebrate&amp;org=Zebrafish&amp;db=danRer7&amp;position=chr21:44267649-44273778","chr21:44267649-44273778")</f>
        <v>chr21:44267649-44273778</v>
      </c>
      <c r="J65" s="6" t="str">
        <f>HYPERLINK("http://www.ncbi.nlm.nih.gov/entrez/query.fcgi?db=gene&amp;cmd=Retrieve&amp;list_uids=792160","792160")</f>
        <v>792160</v>
      </c>
      <c r="K65" s="6" t="str">
        <f>HYPERLINK("http://www.ncbi.nlm.nih.gov/entrez/query.fcgi?cmd=Search&amp;db=Nucleotide&amp;term=NM_205747","NM_205747")</f>
        <v>NM_205747</v>
      </c>
      <c r="L65" s="4" t="s">
        <v>83</v>
      </c>
      <c r="M65" s="4">
        <v>44267649</v>
      </c>
      <c r="N65" s="4">
        <v>44273778</v>
      </c>
      <c r="O65" s="4" t="s">
        <v>23</v>
      </c>
      <c r="P65" s="3" t="s">
        <v>151</v>
      </c>
      <c r="Q65" s="3" t="s">
        <v>152</v>
      </c>
      <c r="R65" s="4"/>
      <c r="S65" s="4"/>
      <c r="T65" s="3" t="s">
        <v>829</v>
      </c>
      <c r="U65" s="3" t="s">
        <v>830</v>
      </c>
      <c r="V65" s="4"/>
    </row>
    <row r="66" spans="1:22" customFormat="1" x14ac:dyDescent="0.15">
      <c r="A66" s="3" t="s">
        <v>812</v>
      </c>
      <c r="B66" s="3" t="s">
        <v>813</v>
      </c>
      <c r="C66" s="3" t="s">
        <v>811</v>
      </c>
      <c r="D66" s="4">
        <v>3.4009999999999998</v>
      </c>
      <c r="E66" s="4">
        <v>1.46</v>
      </c>
      <c r="F66" s="4">
        <v>1.49</v>
      </c>
      <c r="G66" s="4">
        <v>6.44</v>
      </c>
      <c r="H66" s="5">
        <f t="shared" si="0"/>
        <v>4.3221476510067118</v>
      </c>
      <c r="I66" s="6" t="str">
        <f>HYPERLINK("http://genome.ucsc.edu/cgi-bin/hgTracks?clade=vertebrate&amp;org=Zebrafish&amp;db=danRer7&amp;position=chr24:3025823-3037951","chr24:3025823-3037951")</f>
        <v>chr24:3025823-3037951</v>
      </c>
      <c r="J66" s="6" t="str">
        <f>HYPERLINK("http://www.ncbi.nlm.nih.gov/entrez/query.fcgi?db=gene&amp;cmd=Retrieve&amp;list_uids=30072","30072")</f>
        <v>30072</v>
      </c>
      <c r="K66" s="6" t="str">
        <f>HYPERLINK("http://www.ncbi.nlm.nih.gov/entrez/query.fcgi?cmd=Search&amp;db=Nucleotide&amp;term=NM_130916","NM_130916")</f>
        <v>NM_130916</v>
      </c>
      <c r="L66" s="4" t="s">
        <v>69</v>
      </c>
      <c r="M66" s="4">
        <v>3025823</v>
      </c>
      <c r="N66" s="4">
        <v>3037951</v>
      </c>
      <c r="O66" s="4" t="s">
        <v>19</v>
      </c>
      <c r="P66" s="3" t="s">
        <v>814</v>
      </c>
      <c r="Q66" s="3" t="s">
        <v>815</v>
      </c>
      <c r="R66" s="3" t="s">
        <v>115</v>
      </c>
      <c r="S66" s="3" t="s">
        <v>116</v>
      </c>
      <c r="T66" s="3" t="s">
        <v>193</v>
      </c>
      <c r="U66" s="3" t="s">
        <v>194</v>
      </c>
      <c r="V66" s="4"/>
    </row>
    <row r="67" spans="1:22" customFormat="1" x14ac:dyDescent="0.15">
      <c r="A67" s="3" t="s">
        <v>996</v>
      </c>
      <c r="B67" s="3" t="s">
        <v>997</v>
      </c>
      <c r="C67" s="3" t="s">
        <v>995</v>
      </c>
      <c r="D67" s="4">
        <v>1.768</v>
      </c>
      <c r="E67" s="4">
        <v>1.87</v>
      </c>
      <c r="F67" s="4">
        <v>1.35</v>
      </c>
      <c r="G67" s="4">
        <v>5.76</v>
      </c>
      <c r="H67" s="5">
        <f t="shared" ref="H67:H130" si="1">G67/F67</f>
        <v>4.2666666666666666</v>
      </c>
      <c r="I67" s="6" t="str">
        <f>HYPERLINK("http://genome.ucsc.edu/cgi-bin/hgTracks?clade=vertebrate&amp;org=Zebrafish&amp;db=danRer7&amp;position=chr5:21277531-21293021","chr5:21277531-21293021")</f>
        <v>chr5:21277531-21293021</v>
      </c>
      <c r="J67" s="6" t="str">
        <f>HYPERLINK("http://www.ncbi.nlm.nih.gov/entrez/query.fcgi?db=gene&amp;cmd=Retrieve&amp;list_uids=492477","492477")</f>
        <v>492477</v>
      </c>
      <c r="K67" s="6" t="str">
        <f>HYPERLINK("http://www.ncbi.nlm.nih.gov/entrez/query.fcgi?cmd=Search&amp;db=Nucleotide&amp;term=NM_001007349","NM_001007349")</f>
        <v>NM_001007349</v>
      </c>
      <c r="L67" s="4" t="s">
        <v>29</v>
      </c>
      <c r="M67" s="4">
        <v>21277531</v>
      </c>
      <c r="N67" s="4">
        <v>21293021</v>
      </c>
      <c r="O67" s="4" t="s">
        <v>23</v>
      </c>
      <c r="P67" s="3" t="s">
        <v>998</v>
      </c>
      <c r="Q67" s="3" t="s">
        <v>999</v>
      </c>
      <c r="R67" s="3" t="s">
        <v>58</v>
      </c>
      <c r="S67" s="3" t="s">
        <v>59</v>
      </c>
      <c r="T67" s="3" t="s">
        <v>1000</v>
      </c>
      <c r="U67" s="3" t="s">
        <v>1001</v>
      </c>
      <c r="V67" s="4"/>
    </row>
    <row r="68" spans="1:22" customFormat="1" x14ac:dyDescent="0.15">
      <c r="A68" s="3" t="s">
        <v>262</v>
      </c>
      <c r="B68" s="3" t="s">
        <v>263</v>
      </c>
      <c r="C68" s="3" t="s">
        <v>261</v>
      </c>
      <c r="D68" s="4">
        <v>2.6560000000000001</v>
      </c>
      <c r="E68" s="4">
        <v>4.2300000000000004</v>
      </c>
      <c r="F68" s="4">
        <v>7.42</v>
      </c>
      <c r="G68" s="4">
        <v>31.18</v>
      </c>
      <c r="H68" s="5">
        <f t="shared" si="1"/>
        <v>4.2021563342318062</v>
      </c>
      <c r="I68" s="6" t="str">
        <f>HYPERLINK("http://genome.ucsc.edu/cgi-bin/hgTracks?clade=vertebrate&amp;org=Zebrafish&amp;db=danRer7&amp;position=chr20:37819286-37825345","chr20:37819286-37825345")</f>
        <v>chr20:37819286-37825345</v>
      </c>
      <c r="J68" s="6" t="str">
        <f>HYPERLINK("http://www.ncbi.nlm.nih.gov/entrez/query.fcgi?db=gene&amp;cmd=Retrieve&amp;list_uids=393939","393939")</f>
        <v>393939</v>
      </c>
      <c r="K68" s="6" t="str">
        <f>HYPERLINK("http://www.ncbi.nlm.nih.gov/entrez/query.fcgi?cmd=Search&amp;db=Nucleotide&amp;term=NM_200964","NM_200964")</f>
        <v>NM_200964</v>
      </c>
      <c r="L68" s="4" t="s">
        <v>96</v>
      </c>
      <c r="M68" s="4">
        <v>37819286</v>
      </c>
      <c r="N68" s="4">
        <v>37825345</v>
      </c>
      <c r="O68" s="4" t="s">
        <v>23</v>
      </c>
      <c r="P68" s="3" t="s">
        <v>264</v>
      </c>
      <c r="Q68" s="3" t="s">
        <v>265</v>
      </c>
      <c r="R68" s="3" t="s">
        <v>61</v>
      </c>
      <c r="S68" s="3" t="s">
        <v>62</v>
      </c>
      <c r="T68" s="3" t="s">
        <v>259</v>
      </c>
      <c r="U68" s="3" t="s">
        <v>260</v>
      </c>
      <c r="V68" s="4"/>
    </row>
    <row r="69" spans="1:22" customFormat="1" x14ac:dyDescent="0.15">
      <c r="A69" s="3" t="s">
        <v>182</v>
      </c>
      <c r="B69" s="3" t="s">
        <v>183</v>
      </c>
      <c r="C69" s="3" t="s">
        <v>181</v>
      </c>
      <c r="D69" s="4">
        <v>2.4889999999999999</v>
      </c>
      <c r="E69" s="4">
        <v>139.06</v>
      </c>
      <c r="F69" s="4">
        <v>101.51</v>
      </c>
      <c r="G69" s="4">
        <v>423.46</v>
      </c>
      <c r="H69" s="5">
        <f t="shared" si="1"/>
        <v>4.1716087085016254</v>
      </c>
      <c r="I69" s="6" t="str">
        <f>HYPERLINK("http://genome.ucsc.edu/cgi-bin/hgTracks?clade=vertebrate&amp;org=Zebrafish&amp;db=danRer7&amp;position=chr14:22107722-22116461","chr14:22107722-22116461")</f>
        <v>chr14:22107722-22116461</v>
      </c>
      <c r="J69" s="6" t="str">
        <f>HYPERLINK("http://www.ncbi.nlm.nih.gov/entrez/query.fcgi?db=gene&amp;cmd=Retrieve&amp;list_uids=321664","321664")</f>
        <v>321664</v>
      </c>
      <c r="K69" s="6" t="str">
        <f>HYPERLINK("http://www.ncbi.nlm.nih.gov/entrez/query.fcgi?cmd=Search&amp;db=Nucleotide&amp;term=NM_194367","NM_194367")</f>
        <v>NM_194367</v>
      </c>
      <c r="L69" s="4" t="s">
        <v>64</v>
      </c>
      <c r="M69" s="4">
        <v>22107722</v>
      </c>
      <c r="N69" s="4">
        <v>22116461</v>
      </c>
      <c r="O69" s="4" t="s">
        <v>23</v>
      </c>
      <c r="P69" s="3" t="s">
        <v>177</v>
      </c>
      <c r="Q69" s="3" t="s">
        <v>178</v>
      </c>
      <c r="R69" s="3" t="s">
        <v>67</v>
      </c>
      <c r="S69" s="3" t="s">
        <v>68</v>
      </c>
      <c r="T69" s="3" t="s">
        <v>179</v>
      </c>
      <c r="U69" s="3" t="s">
        <v>180</v>
      </c>
      <c r="V69" s="4"/>
    </row>
    <row r="70" spans="1:22" customFormat="1" x14ac:dyDescent="0.15">
      <c r="A70" s="3" t="s">
        <v>1244</v>
      </c>
      <c r="B70" s="3" t="s">
        <v>1245</v>
      </c>
      <c r="C70" s="3" t="s">
        <v>1243</v>
      </c>
      <c r="D70" s="4">
        <v>2.46</v>
      </c>
      <c r="E70" s="4">
        <v>3.04</v>
      </c>
      <c r="F70" s="4">
        <v>2.76</v>
      </c>
      <c r="G70" s="4">
        <v>11.38</v>
      </c>
      <c r="H70" s="5">
        <f t="shared" si="1"/>
        <v>4.1231884057971024</v>
      </c>
      <c r="I70" s="6" t="str">
        <f>HYPERLINK("http://genome.ucsc.edu/cgi-bin/hgTracks?clade=vertebrate&amp;org=Zebrafish&amp;db=danRer7&amp;position=chr19:45226143-45242419","chr19:45226143-45242419")</f>
        <v>chr19:45226143-45242419</v>
      </c>
      <c r="J70" s="6" t="str">
        <f>HYPERLINK("http://www.ncbi.nlm.nih.gov/entrez/query.fcgi?db=gene&amp;cmd=Retrieve&amp;list_uids=100149745","100149745")</f>
        <v>100149745</v>
      </c>
      <c r="K70" s="6" t="str">
        <f>HYPERLINK("http://www.ncbi.nlm.nih.gov/entrez/query.fcgi?cmd=Search&amp;db=Nucleotide&amp;term=NM_001079975","NM_001079975")</f>
        <v>NM_001079975</v>
      </c>
      <c r="L70" s="4" t="s">
        <v>70</v>
      </c>
      <c r="M70" s="4">
        <v>45226143</v>
      </c>
      <c r="N70" s="4">
        <v>45242419</v>
      </c>
      <c r="O70" s="4" t="s">
        <v>19</v>
      </c>
      <c r="P70" s="3" t="s">
        <v>1246</v>
      </c>
      <c r="Q70" s="3" t="s">
        <v>1247</v>
      </c>
      <c r="R70" s="3" t="s">
        <v>61</v>
      </c>
      <c r="S70" s="3" t="s">
        <v>62</v>
      </c>
      <c r="T70" s="4"/>
      <c r="U70" s="4"/>
      <c r="V70" s="4"/>
    </row>
    <row r="71" spans="1:22" customFormat="1" x14ac:dyDescent="0.15">
      <c r="A71" s="3" t="s">
        <v>1396</v>
      </c>
      <c r="B71" s="3" t="s">
        <v>1397</v>
      </c>
      <c r="C71" s="3" t="s">
        <v>1395</v>
      </c>
      <c r="D71" s="4">
        <v>3.923</v>
      </c>
      <c r="E71" s="4">
        <v>9.6</v>
      </c>
      <c r="F71" s="4">
        <v>7.11</v>
      </c>
      <c r="G71" s="4">
        <v>29.24</v>
      </c>
      <c r="H71" s="5">
        <f t="shared" si="1"/>
        <v>4.1125175808720105</v>
      </c>
      <c r="I71" s="6" t="str">
        <f>HYPERLINK("http://genome.ucsc.edu/cgi-bin/hgTracks?clade=vertebrate&amp;org=Zebrafish&amp;db=danRer7&amp;position=chr14:25214782-25220155","chr14:25214782-25220155")</f>
        <v>chr14:25214782-25220155</v>
      </c>
      <c r="J71" s="6" t="str">
        <f>HYPERLINK("http://www.ncbi.nlm.nih.gov/entrez/query.fcgi?db=gene&amp;cmd=Retrieve&amp;list_uids=544665","544665")</f>
        <v>544665</v>
      </c>
      <c r="K71" s="6" t="str">
        <f>HYPERLINK("http://www.ncbi.nlm.nih.gov/entrez/query.fcgi?cmd=Search&amp;db=Nucleotide&amp;term=NM_001014827","NM_001014827")</f>
        <v>NM_001014827</v>
      </c>
      <c r="L71" s="4" t="s">
        <v>64</v>
      </c>
      <c r="M71" s="4">
        <v>25214782</v>
      </c>
      <c r="N71" s="4">
        <v>25220155</v>
      </c>
      <c r="O71" s="4" t="s">
        <v>23</v>
      </c>
      <c r="P71" s="3" t="s">
        <v>65</v>
      </c>
      <c r="Q71" s="3" t="s">
        <v>66</v>
      </c>
      <c r="R71" s="3" t="s">
        <v>115</v>
      </c>
      <c r="S71" s="3" t="s">
        <v>116</v>
      </c>
      <c r="T71" s="3" t="s">
        <v>139</v>
      </c>
      <c r="U71" s="3" t="s">
        <v>140</v>
      </c>
      <c r="V71" s="4"/>
    </row>
    <row r="72" spans="1:22" customFormat="1" x14ac:dyDescent="0.15">
      <c r="A72" s="3" t="s">
        <v>1219</v>
      </c>
      <c r="B72" s="3" t="s">
        <v>1220</v>
      </c>
      <c r="C72" s="3" t="s">
        <v>1218</v>
      </c>
      <c r="D72" s="4">
        <v>3.05</v>
      </c>
      <c r="E72" s="4">
        <v>12.89</v>
      </c>
      <c r="F72" s="4">
        <v>9.58</v>
      </c>
      <c r="G72" s="4">
        <v>39.229999999999997</v>
      </c>
      <c r="H72" s="5">
        <f t="shared" si="1"/>
        <v>4.0949895615866385</v>
      </c>
      <c r="I72" s="6" t="str">
        <f>HYPERLINK("http://genome.ucsc.edu/cgi-bin/hgTracks?clade=vertebrate&amp;org=Zebrafish&amp;db=danRer7&amp;position=chr5:63941830-63956640","chr5:63941830-63956640")</f>
        <v>chr5:63941830-63956640</v>
      </c>
      <c r="J72" s="6" t="str">
        <f>HYPERLINK("http://www.ncbi.nlm.nih.gov/entrez/query.fcgi?db=gene&amp;cmd=Retrieve&amp;list_uids=192340","192340")</f>
        <v>192340</v>
      </c>
      <c r="K72" s="6" t="str">
        <f>HYPERLINK("http://www.ncbi.nlm.nih.gov/entrez/query.fcgi?cmd=Search&amp;db=Nucleotide&amp;term=NM_173259","NM_173259")</f>
        <v>NM_173259</v>
      </c>
      <c r="L72" s="4" t="s">
        <v>29</v>
      </c>
      <c r="M72" s="4">
        <v>63941830</v>
      </c>
      <c r="N72" s="4">
        <v>63956640</v>
      </c>
      <c r="O72" s="4" t="s">
        <v>23</v>
      </c>
      <c r="P72" s="3" t="s">
        <v>277</v>
      </c>
      <c r="Q72" s="3" t="s">
        <v>278</v>
      </c>
      <c r="R72" s="3" t="s">
        <v>1221</v>
      </c>
      <c r="S72" s="3" t="s">
        <v>1222</v>
      </c>
      <c r="T72" s="3" t="s">
        <v>143</v>
      </c>
      <c r="U72" s="3" t="s">
        <v>144</v>
      </c>
      <c r="V72" s="4"/>
    </row>
    <row r="73" spans="1:22" customFormat="1" x14ac:dyDescent="0.15">
      <c r="A73" s="3" t="s">
        <v>1219</v>
      </c>
      <c r="B73" s="3" t="s">
        <v>1220</v>
      </c>
      <c r="C73" s="3" t="s">
        <v>1218</v>
      </c>
      <c r="D73" s="4">
        <v>3.05</v>
      </c>
      <c r="E73" s="4">
        <v>12.89</v>
      </c>
      <c r="F73" s="4">
        <v>9.58</v>
      </c>
      <c r="G73" s="4">
        <v>39.229999999999997</v>
      </c>
      <c r="H73" s="5">
        <f t="shared" si="1"/>
        <v>4.0949895615866385</v>
      </c>
      <c r="I73" s="6" t="str">
        <f>HYPERLINK("http://genome.ucsc.edu/cgi-bin/hgTracks?clade=vertebrate&amp;org=Zebrafish&amp;db=danRer7&amp;position=chr5:56795118-56809990","chr5:56795118-56809990")</f>
        <v>chr5:56795118-56809990</v>
      </c>
      <c r="J73" s="6" t="str">
        <f>HYPERLINK("http://www.ncbi.nlm.nih.gov/entrez/query.fcgi?db=gene&amp;cmd=Retrieve&amp;list_uids=192340","192340")</f>
        <v>192340</v>
      </c>
      <c r="K73" s="6" t="str">
        <f>HYPERLINK("http://www.ncbi.nlm.nih.gov/entrez/query.fcgi?cmd=Search&amp;db=Nucleotide&amp;term=NM_173259","NM_173259")</f>
        <v>NM_173259</v>
      </c>
      <c r="L73" s="4" t="s">
        <v>29</v>
      </c>
      <c r="M73" s="4">
        <v>56795118</v>
      </c>
      <c r="N73" s="4">
        <v>56809990</v>
      </c>
      <c r="O73" s="4" t="s">
        <v>23</v>
      </c>
      <c r="P73" s="3" t="s">
        <v>277</v>
      </c>
      <c r="Q73" s="3" t="s">
        <v>278</v>
      </c>
      <c r="R73" s="3" t="s">
        <v>1221</v>
      </c>
      <c r="S73" s="3" t="s">
        <v>1222</v>
      </c>
      <c r="T73" s="3" t="s">
        <v>143</v>
      </c>
      <c r="U73" s="3" t="s">
        <v>144</v>
      </c>
      <c r="V73" s="4"/>
    </row>
    <row r="74" spans="1:22" customFormat="1" x14ac:dyDescent="0.15">
      <c r="A74" s="3" t="s">
        <v>1521</v>
      </c>
      <c r="B74" s="3" t="s">
        <v>1521</v>
      </c>
      <c r="C74" s="3" t="s">
        <v>1520</v>
      </c>
      <c r="D74" s="4">
        <v>5.5730000000000004</v>
      </c>
      <c r="E74" s="4">
        <v>1.66</v>
      </c>
      <c r="F74" s="4">
        <v>1.79</v>
      </c>
      <c r="G74" s="4">
        <v>7.22</v>
      </c>
      <c r="H74" s="5">
        <f t="shared" si="1"/>
        <v>4.0335195530726251</v>
      </c>
      <c r="I74" s="6" t="str">
        <f>HYPERLINK("http://genome.ucsc.edu/cgi-bin/hgTracks?clade=vertebrate&amp;org=Zebrafish&amp;db=danRer7&amp;position=chr15:35200934-35212742","chr15:35200934-35212742")</f>
        <v>chr15:35200934-35212742</v>
      </c>
      <c r="J74" s="6" t="str">
        <f>HYPERLINK("http://www.ncbi.nlm.nih.gov/entrez/query.fcgi?db=gene&amp;cmd=Retrieve&amp;list_uids=550277","550277")</f>
        <v>550277</v>
      </c>
      <c r="K74" s="6" t="str">
        <f>HYPERLINK("http://www.ncbi.nlm.nih.gov/entrez/query.fcgi?cmd=Search&amp;db=Nucleotide&amp;term=NM_001017614","NM_001017614")</f>
        <v>NM_001017614</v>
      </c>
      <c r="L74" s="4" t="s">
        <v>18</v>
      </c>
      <c r="M74" s="4">
        <v>35200934</v>
      </c>
      <c r="N74" s="4">
        <v>35212742</v>
      </c>
      <c r="O74" s="4" t="s">
        <v>23</v>
      </c>
      <c r="P74" s="4"/>
      <c r="Q74" s="4"/>
      <c r="R74" s="3" t="s">
        <v>39</v>
      </c>
      <c r="S74" s="3" t="s">
        <v>40</v>
      </c>
      <c r="T74" s="3" t="s">
        <v>1186</v>
      </c>
      <c r="U74" s="3" t="s">
        <v>1187</v>
      </c>
      <c r="V74" s="4"/>
    </row>
    <row r="75" spans="1:22" customFormat="1" x14ac:dyDescent="0.15">
      <c r="A75" s="3" t="s">
        <v>1438</v>
      </c>
      <c r="B75" s="3" t="s">
        <v>1439</v>
      </c>
      <c r="C75" s="3" t="s">
        <v>1437</v>
      </c>
      <c r="D75" s="4">
        <v>5.968</v>
      </c>
      <c r="E75" s="4">
        <v>10.69</v>
      </c>
      <c r="F75" s="4">
        <v>10.25</v>
      </c>
      <c r="G75" s="4">
        <v>41.27</v>
      </c>
      <c r="H75" s="5">
        <f t="shared" si="1"/>
        <v>4.0263414634146342</v>
      </c>
      <c r="I75" s="6" t="str">
        <f>HYPERLINK("http://genome.ucsc.edu/cgi-bin/hgTracks?clade=vertebrate&amp;org=Zebrafish&amp;db=danRer7&amp;position=chr11:24994383-24999049","chr11:24994383-24999049")</f>
        <v>chr11:24994383-24999049</v>
      </c>
      <c r="J75" s="6" t="str">
        <f>HYPERLINK("http://www.ncbi.nlm.nih.gov/entrez/query.fcgi?db=gene&amp;cmd=Retrieve&amp;list_uids=405805","405805")</f>
        <v>405805</v>
      </c>
      <c r="K75" s="6" t="str">
        <f>HYPERLINK("http://www.ncbi.nlm.nih.gov/entrez/query.fcgi?cmd=Search&amp;db=Nucleotide&amp;term=NM_212869","NM_212869")</f>
        <v>NM_212869</v>
      </c>
      <c r="L75" s="4" t="s">
        <v>36</v>
      </c>
      <c r="M75" s="4">
        <v>24994383</v>
      </c>
      <c r="N75" s="4">
        <v>24999049</v>
      </c>
      <c r="O75" s="4" t="s">
        <v>23</v>
      </c>
      <c r="P75" s="3" t="s">
        <v>271</v>
      </c>
      <c r="Q75" s="3" t="s">
        <v>272</v>
      </c>
      <c r="R75" s="4"/>
      <c r="S75" s="4"/>
      <c r="T75" s="3" t="s">
        <v>1440</v>
      </c>
      <c r="U75" s="3" t="s">
        <v>1441</v>
      </c>
      <c r="V75" s="4"/>
    </row>
    <row r="76" spans="1:22" customFormat="1" x14ac:dyDescent="0.15">
      <c r="A76" s="3" t="s">
        <v>1610</v>
      </c>
      <c r="B76" s="3" t="s">
        <v>1610</v>
      </c>
      <c r="C76" s="3" t="s">
        <v>1609</v>
      </c>
      <c r="D76" s="4">
        <v>3.4540000000000002</v>
      </c>
      <c r="E76" s="4">
        <v>682.79</v>
      </c>
      <c r="F76" s="4">
        <v>360.1</v>
      </c>
      <c r="G76" s="4">
        <v>1444.85</v>
      </c>
      <c r="H76" s="5">
        <f t="shared" si="1"/>
        <v>4.01235767842266</v>
      </c>
      <c r="I76" s="6" t="str">
        <f>HYPERLINK("http://genome.ucsc.edu/cgi-bin/hgTracks?clade=vertebrate&amp;org=Zebrafish&amp;db=danRer7&amp;position=chr22:11866207-11869255","chr22:11866207-11869255")</f>
        <v>chr22:11866207-11869255</v>
      </c>
      <c r="J76" s="6" t="str">
        <f>HYPERLINK("http://www.ncbi.nlm.nih.gov/entrez/query.fcgi?db=gene&amp;cmd=Retrieve&amp;list_uids=436656","436656")</f>
        <v>436656</v>
      </c>
      <c r="K76" s="6" t="str">
        <f>HYPERLINK("http://www.ncbi.nlm.nih.gov/entrez/query.fcgi?cmd=Search&amp;db=Nucleotide&amp;term=NM_001002383","NM_001002383")</f>
        <v>NM_001002383</v>
      </c>
      <c r="L76" s="4" t="s">
        <v>103</v>
      </c>
      <c r="M76" s="4">
        <v>11866207</v>
      </c>
      <c r="N76" s="4">
        <v>11869255</v>
      </c>
      <c r="O76" s="4" t="s">
        <v>23</v>
      </c>
      <c r="P76" s="4"/>
      <c r="Q76" s="4"/>
      <c r="R76" s="3" t="s">
        <v>392</v>
      </c>
      <c r="S76" s="3" t="s">
        <v>393</v>
      </c>
      <c r="T76" s="3" t="s">
        <v>394</v>
      </c>
      <c r="U76" s="3" t="s">
        <v>395</v>
      </c>
      <c r="V76" s="4"/>
    </row>
    <row r="77" spans="1:22" customFormat="1" x14ac:dyDescent="0.15">
      <c r="A77" s="3" t="s">
        <v>1317</v>
      </c>
      <c r="B77" s="3" t="s">
        <v>1318</v>
      </c>
      <c r="C77" s="3" t="s">
        <v>1316</v>
      </c>
      <c r="D77" s="4">
        <v>1.8740000000000001</v>
      </c>
      <c r="E77" s="4">
        <v>9.09</v>
      </c>
      <c r="F77" s="4">
        <v>7</v>
      </c>
      <c r="G77" s="4">
        <v>28.04</v>
      </c>
      <c r="H77" s="5">
        <f t="shared" si="1"/>
        <v>4.0057142857142853</v>
      </c>
      <c r="I77" s="6" t="str">
        <f>HYPERLINK("http://genome.ucsc.edu/cgi-bin/hgTracks?clade=vertebrate&amp;org=Zebrafish&amp;db=danRer7&amp;position=chr13:24655879-24671222","chr13:24655879-24671222")</f>
        <v>chr13:24655879-24671222</v>
      </c>
      <c r="J77" s="6" t="str">
        <f>HYPERLINK("http://www.ncbi.nlm.nih.gov/entrez/query.fcgi?db=gene&amp;cmd=Retrieve&amp;list_uids=368885","368885")</f>
        <v>368885</v>
      </c>
      <c r="K77" s="6" t="str">
        <f>HYPERLINK("http://www.ncbi.nlm.nih.gov/entrez/query.fcgi?cmd=Search&amp;db=Nucleotide&amp;term=NM_001002513","NM_001002513")</f>
        <v>NM_001002513</v>
      </c>
      <c r="L77" s="4" t="s">
        <v>74</v>
      </c>
      <c r="M77" s="4">
        <v>24655879</v>
      </c>
      <c r="N77" s="4">
        <v>24671222</v>
      </c>
      <c r="O77" s="4" t="s">
        <v>19</v>
      </c>
      <c r="P77" s="3" t="s">
        <v>1319</v>
      </c>
      <c r="Q77" s="3" t="s">
        <v>1320</v>
      </c>
      <c r="R77" s="3" t="s">
        <v>81</v>
      </c>
      <c r="S77" s="3" t="s">
        <v>82</v>
      </c>
      <c r="T77" s="3" t="s">
        <v>1314</v>
      </c>
      <c r="U77" s="3" t="s">
        <v>1315</v>
      </c>
      <c r="V77" s="4"/>
    </row>
    <row r="78" spans="1:22" customFormat="1" x14ac:dyDescent="0.15">
      <c r="A78" s="3" t="s">
        <v>1533</v>
      </c>
      <c r="B78" s="3" t="s">
        <v>1533</v>
      </c>
      <c r="C78" s="3" t="s">
        <v>1532</v>
      </c>
      <c r="D78" s="4">
        <v>1.417</v>
      </c>
      <c r="E78" s="4">
        <v>0.71</v>
      </c>
      <c r="F78" s="4">
        <v>3.36</v>
      </c>
      <c r="G78" s="4">
        <v>13.4</v>
      </c>
      <c r="H78" s="5">
        <f t="shared" si="1"/>
        <v>3.9880952380952381</v>
      </c>
      <c r="I78" s="6" t="str">
        <f>HYPERLINK("http://genome.ucsc.edu/cgi-bin/hgTracks?clade=vertebrate&amp;org=Zebrafish&amp;db=danRer7&amp;position=chr22:19108959-19117477","chr22:19108959-19117477")</f>
        <v>chr22:19108959-19117477</v>
      </c>
      <c r="J78" s="6" t="str">
        <f>HYPERLINK("http://www.ncbi.nlm.nih.gov/entrez/query.fcgi?db=gene&amp;cmd=Retrieve&amp;list_uids=557352","557352")</f>
        <v>557352</v>
      </c>
      <c r="K78" s="6" t="str">
        <f>HYPERLINK("http://www.ncbi.nlm.nih.gov/entrez/query.fcgi?cmd=Search&amp;db=Nucleotide&amp;term=NM_001030111","NM_001030111")</f>
        <v>NM_001030111</v>
      </c>
      <c r="L78" s="4" t="s">
        <v>103</v>
      </c>
      <c r="M78" s="4">
        <v>19108959</v>
      </c>
      <c r="N78" s="4">
        <v>19117477</v>
      </c>
      <c r="O78" s="4" t="s">
        <v>23</v>
      </c>
      <c r="P78" s="4"/>
      <c r="Q78" s="4"/>
      <c r="R78" s="4"/>
      <c r="S78" s="4"/>
      <c r="T78" s="3" t="s">
        <v>171</v>
      </c>
      <c r="U78" s="3" t="s">
        <v>172</v>
      </c>
      <c r="V78" s="4"/>
    </row>
    <row r="79" spans="1:22" customFormat="1" x14ac:dyDescent="0.15">
      <c r="A79" s="3" t="s">
        <v>1128</v>
      </c>
      <c r="B79" s="3" t="s">
        <v>1129</v>
      </c>
      <c r="C79" s="3" t="s">
        <v>1127</v>
      </c>
      <c r="D79" s="4">
        <v>1.1399999999999999</v>
      </c>
      <c r="E79" s="4">
        <v>1.93</v>
      </c>
      <c r="F79" s="4">
        <v>1.33</v>
      </c>
      <c r="G79" s="4">
        <v>5.3</v>
      </c>
      <c r="H79" s="5">
        <f t="shared" si="1"/>
        <v>3.984962406015037</v>
      </c>
      <c r="I79" s="6" t="str">
        <f>HYPERLINK("http://genome.ucsc.edu/cgi-bin/hgTracks?clade=vertebrate&amp;org=Zebrafish&amp;db=danRer7&amp;position=chr2:58850209-58864538","chr2:58850209-58864538")</f>
        <v>chr2:58850209-58864538</v>
      </c>
      <c r="J79" s="6" t="str">
        <f>HYPERLINK("http://www.ncbi.nlm.nih.gov/entrez/query.fcgi?db=gene&amp;cmd=Retrieve&amp;list_uids=447889","447889")</f>
        <v>447889</v>
      </c>
      <c r="K79" s="6" t="str">
        <f>HYPERLINK("http://www.ncbi.nlm.nih.gov/entrez/query.fcgi?cmd=Search&amp;db=Nucleotide&amp;term=NM_001004628","NM_001004628")</f>
        <v>NM_001004628</v>
      </c>
      <c r="L79" s="4" t="s">
        <v>79</v>
      </c>
      <c r="M79" s="4">
        <v>58850209</v>
      </c>
      <c r="N79" s="4">
        <v>58864538</v>
      </c>
      <c r="O79" s="4" t="s">
        <v>23</v>
      </c>
      <c r="P79" s="3" t="s">
        <v>1123</v>
      </c>
      <c r="Q79" s="3" t="s">
        <v>1124</v>
      </c>
      <c r="R79" s="3" t="s">
        <v>67</v>
      </c>
      <c r="S79" s="3" t="s">
        <v>68</v>
      </c>
      <c r="T79" s="3" t="s">
        <v>1125</v>
      </c>
      <c r="U79" s="3" t="s">
        <v>1126</v>
      </c>
      <c r="V79" s="4"/>
    </row>
    <row r="80" spans="1:22" customFormat="1" x14ac:dyDescent="0.15">
      <c r="A80" s="3" t="s">
        <v>612</v>
      </c>
      <c r="B80" s="3" t="s">
        <v>613</v>
      </c>
      <c r="C80" s="3" t="s">
        <v>611</v>
      </c>
      <c r="D80" s="4">
        <v>3.153</v>
      </c>
      <c r="E80" s="4">
        <v>0.85</v>
      </c>
      <c r="F80" s="4">
        <v>1.27</v>
      </c>
      <c r="G80" s="4">
        <v>5.04</v>
      </c>
      <c r="H80" s="5">
        <f t="shared" si="1"/>
        <v>3.9685039370078741</v>
      </c>
      <c r="I80" s="6" t="str">
        <f>HYPERLINK("http://genome.ucsc.edu/cgi-bin/hgTracks?clade=vertebrate&amp;org=Zebrafish&amp;db=danRer7&amp;position=chr14:31611183-31617315","chr14:31611183-31617315")</f>
        <v>chr14:31611183-31617315</v>
      </c>
      <c r="J80" s="6" t="str">
        <f>HYPERLINK("http://www.ncbi.nlm.nih.gov/entrez/query.fcgi?db=gene&amp;cmd=Retrieve&amp;list_uids=564241","564241")</f>
        <v>564241</v>
      </c>
      <c r="K80" s="6" t="str">
        <f>HYPERLINK("http://www.ncbi.nlm.nih.gov/entrez/query.fcgi?cmd=Search&amp;db=Nucleotide&amp;term=NM_001161552","NM_001161552")</f>
        <v>NM_001161552</v>
      </c>
      <c r="L80" s="4" t="s">
        <v>64</v>
      </c>
      <c r="M80" s="4">
        <v>31611183</v>
      </c>
      <c r="N80" s="4">
        <v>31617315</v>
      </c>
      <c r="O80" s="4" t="s">
        <v>19</v>
      </c>
      <c r="P80" s="3" t="s">
        <v>151</v>
      </c>
      <c r="Q80" s="3" t="s">
        <v>152</v>
      </c>
      <c r="R80" s="3" t="s">
        <v>61</v>
      </c>
      <c r="S80" s="3" t="s">
        <v>62</v>
      </c>
      <c r="T80" s="3" t="s">
        <v>259</v>
      </c>
      <c r="U80" s="3" t="s">
        <v>260</v>
      </c>
      <c r="V80" s="4"/>
    </row>
    <row r="81" spans="1:22" customFormat="1" x14ac:dyDescent="0.15">
      <c r="A81" s="3" t="s">
        <v>1571</v>
      </c>
      <c r="B81" s="3" t="s">
        <v>1571</v>
      </c>
      <c r="C81" s="3" t="s">
        <v>1570</v>
      </c>
      <c r="D81" s="4">
        <v>3.2669999999999999</v>
      </c>
      <c r="E81" s="4">
        <v>3.97</v>
      </c>
      <c r="F81" s="4">
        <v>4.67</v>
      </c>
      <c r="G81" s="4">
        <v>18.45</v>
      </c>
      <c r="H81" s="5">
        <f t="shared" si="1"/>
        <v>3.9507494646680943</v>
      </c>
      <c r="I81" s="6" t="str">
        <f>HYPERLINK("http://genome.ucsc.edu/cgi-bin/hgTracks?clade=vertebrate&amp;org=Zebrafish&amp;db=danRer7&amp;position=chr6:58818530-58821727","chr6:58818530-58821727")</f>
        <v>chr6:58818530-58821727</v>
      </c>
      <c r="J81" s="6" t="str">
        <f>HYPERLINK("http://www.ncbi.nlm.nih.gov/entrez/query.fcgi?db=gene&amp;cmd=Retrieve&amp;list_uids=561924","561924")</f>
        <v>561924</v>
      </c>
      <c r="K81" s="6" t="str">
        <f>HYPERLINK("http://www.ncbi.nlm.nih.gov/entrez/query.fcgi?cmd=Search&amp;db=Nucleotide&amp;term=NM_001082825","NM_001082825")</f>
        <v>NM_001082825</v>
      </c>
      <c r="L81" s="4" t="s">
        <v>46</v>
      </c>
      <c r="M81" s="4">
        <v>58818530</v>
      </c>
      <c r="N81" s="4">
        <v>58821727</v>
      </c>
      <c r="O81" s="4" t="s">
        <v>23</v>
      </c>
      <c r="P81" s="4"/>
      <c r="Q81" s="4"/>
      <c r="R81" s="3" t="s">
        <v>67</v>
      </c>
      <c r="S81" s="3" t="s">
        <v>68</v>
      </c>
      <c r="T81" s="4"/>
      <c r="U81" s="4"/>
      <c r="V81" s="4"/>
    </row>
    <row r="82" spans="1:22" customFormat="1" x14ac:dyDescent="0.15">
      <c r="A82" s="3" t="s">
        <v>1292</v>
      </c>
      <c r="B82" s="3" t="s">
        <v>1292</v>
      </c>
      <c r="C82" s="3" t="s">
        <v>1291</v>
      </c>
      <c r="D82" s="4">
        <v>7.1769999999999996</v>
      </c>
      <c r="E82" s="4">
        <v>2.38</v>
      </c>
      <c r="F82" s="4">
        <v>2.8</v>
      </c>
      <c r="G82" s="4">
        <v>10.99</v>
      </c>
      <c r="H82" s="5">
        <f t="shared" si="1"/>
        <v>3.9250000000000003</v>
      </c>
      <c r="I82" s="6" t="str">
        <f>HYPERLINK("http://genome.ucsc.edu/cgi-bin/hgTracks?clade=vertebrate&amp;org=Zebrafish&amp;db=danRer7&amp;position=chr20:26507804-26561457","chr20:26507804-26561457")</f>
        <v>chr20:26507804-26561457</v>
      </c>
      <c r="J82" s="6" t="str">
        <f>HYPERLINK("http://www.ncbi.nlm.nih.gov/entrez/query.fcgi?db=gene&amp;cmd=Retrieve&amp;list_uids=100034522","100034522")</f>
        <v>100034522</v>
      </c>
      <c r="K82" s="6" t="str">
        <f>HYPERLINK("http://www.ncbi.nlm.nih.gov/entrez/query.fcgi?cmd=Search&amp;db=Nucleotide&amp;term=NM_001242996","NM_001242996")</f>
        <v>NM_001242996</v>
      </c>
      <c r="L82" s="4" t="s">
        <v>96</v>
      </c>
      <c r="M82" s="4">
        <v>26507804</v>
      </c>
      <c r="N82" s="4">
        <v>26561457</v>
      </c>
      <c r="O82" s="4" t="s">
        <v>19</v>
      </c>
      <c r="P82" s="3" t="s">
        <v>993</v>
      </c>
      <c r="Q82" s="3" t="s">
        <v>994</v>
      </c>
      <c r="R82" s="4"/>
      <c r="S82" s="4"/>
      <c r="T82" s="3" t="s">
        <v>1293</v>
      </c>
      <c r="U82" s="3" t="s">
        <v>1294</v>
      </c>
      <c r="V82" s="4"/>
    </row>
    <row r="83" spans="1:22" customFormat="1" x14ac:dyDescent="0.15">
      <c r="A83" s="3" t="s">
        <v>1589</v>
      </c>
      <c r="B83" s="3" t="s">
        <v>1589</v>
      </c>
      <c r="C83" s="3" t="s">
        <v>1588</v>
      </c>
      <c r="D83" s="4">
        <v>3.6720000000000002</v>
      </c>
      <c r="E83" s="4">
        <v>0.41</v>
      </c>
      <c r="F83" s="4">
        <v>1.43</v>
      </c>
      <c r="G83" s="4">
        <v>5.57</v>
      </c>
      <c r="H83" s="5">
        <f t="shared" si="1"/>
        <v>3.8951048951048954</v>
      </c>
      <c r="I83" s="6" t="str">
        <f>HYPERLINK("http://genome.ucsc.edu/cgi-bin/hgTracks?clade=vertebrate&amp;org=Zebrafish&amp;db=danRer7&amp;position=chr6:39045209-39050006","chr6:39045209-39050006")</f>
        <v>chr6:39045209-39050006</v>
      </c>
      <c r="J83" s="6" t="str">
        <f>HYPERLINK("http://www.ncbi.nlm.nih.gov/entrez/query.fcgi?db=gene&amp;cmd=Retrieve&amp;list_uids=100126017","100126017")</f>
        <v>100126017</v>
      </c>
      <c r="K83" s="6" t="str">
        <f>HYPERLINK("http://www.ncbi.nlm.nih.gov/entrez/query.fcgi?cmd=Search&amp;db=Nucleotide&amp;term=NM_001105697","NM_001105697")</f>
        <v>NM_001105697</v>
      </c>
      <c r="L83" s="4" t="s">
        <v>46</v>
      </c>
      <c r="M83" s="4">
        <v>39045209</v>
      </c>
      <c r="N83" s="4">
        <v>39050006</v>
      </c>
      <c r="O83" s="4" t="s">
        <v>23</v>
      </c>
      <c r="P83" s="3" t="s">
        <v>478</v>
      </c>
      <c r="Q83" s="3" t="s">
        <v>479</v>
      </c>
      <c r="R83" s="3" t="s">
        <v>39</v>
      </c>
      <c r="S83" s="3" t="s">
        <v>40</v>
      </c>
      <c r="T83" s="4"/>
      <c r="U83" s="4"/>
      <c r="V83" s="4"/>
    </row>
    <row r="84" spans="1:22" customFormat="1" x14ac:dyDescent="0.15">
      <c r="A84" s="3" t="s">
        <v>210</v>
      </c>
      <c r="B84" s="3" t="s">
        <v>211</v>
      </c>
      <c r="C84" s="3" t="s">
        <v>209</v>
      </c>
      <c r="D84" s="4">
        <v>1.169</v>
      </c>
      <c r="E84" s="4">
        <v>273.38</v>
      </c>
      <c r="F84" s="4">
        <v>113.33</v>
      </c>
      <c r="G84" s="4">
        <v>440.91</v>
      </c>
      <c r="H84" s="5">
        <f t="shared" si="1"/>
        <v>3.8904967793170391</v>
      </c>
      <c r="I84" s="6" t="str">
        <f>HYPERLINK("http://genome.ucsc.edu/cgi-bin/hgTracks?clade=vertebrate&amp;org=Zebrafish&amp;db=danRer7&amp;position=chr5:67519126-67530512","chr5:67519126-67530512")</f>
        <v>chr5:67519126-67530512</v>
      </c>
      <c r="J84" s="6" t="str">
        <f>HYPERLINK("http://www.ncbi.nlm.nih.gov/entrez/query.fcgi?db=gene&amp;cmd=Retrieve&amp;list_uids=494158","494158")</f>
        <v>494158</v>
      </c>
      <c r="K84" s="6" t="str">
        <f>HYPERLINK("http://www.ncbi.nlm.nih.gov/entrez/query.fcgi?cmd=Search&amp;db=Nucleotide&amp;term=NM_181760","NM_181760")</f>
        <v>NM_181760</v>
      </c>
      <c r="L84" s="4" t="s">
        <v>29</v>
      </c>
      <c r="M84" s="4">
        <v>67519126</v>
      </c>
      <c r="N84" s="4">
        <v>67530512</v>
      </c>
      <c r="O84" s="4" t="s">
        <v>19</v>
      </c>
      <c r="P84" s="4"/>
      <c r="Q84" s="4"/>
      <c r="R84" s="4"/>
      <c r="S84" s="4"/>
      <c r="T84" s="3" t="s">
        <v>202</v>
      </c>
      <c r="U84" s="3" t="s">
        <v>203</v>
      </c>
      <c r="V84" s="4"/>
    </row>
    <row r="85" spans="1:22" customFormat="1" x14ac:dyDescent="0.15">
      <c r="A85" s="3" t="s">
        <v>1573</v>
      </c>
      <c r="B85" s="3" t="s">
        <v>1573</v>
      </c>
      <c r="C85" s="3" t="s">
        <v>1572</v>
      </c>
      <c r="D85" s="4">
        <v>2.8919999999999999</v>
      </c>
      <c r="E85" s="4">
        <v>1.29</v>
      </c>
      <c r="F85" s="4">
        <v>1.18</v>
      </c>
      <c r="G85" s="4">
        <v>4.59</v>
      </c>
      <c r="H85" s="5">
        <f t="shared" si="1"/>
        <v>3.8898305084745766</v>
      </c>
      <c r="I85" s="6" t="str">
        <f>HYPERLINK("http://genome.ucsc.edu/cgi-bin/hgTracks?clade=vertebrate&amp;org=Zebrafish&amp;db=danRer7&amp;position=chr16:8150793-8157691","chr16:8150793-8157691")</f>
        <v>chr16:8150793-8157691</v>
      </c>
      <c r="J85" s="6" t="str">
        <f>HYPERLINK("http://www.ncbi.nlm.nih.gov/entrez/query.fcgi?db=gene&amp;cmd=Retrieve&amp;list_uids=100003383","100003383")</f>
        <v>100003383</v>
      </c>
      <c r="K85" s="6" t="str">
        <f>HYPERLINK("http://www.ncbi.nlm.nih.gov/entrez/query.fcgi?cmd=Search&amp;db=Nucleotide&amp;term=NM_001083579","NM_001083579")</f>
        <v>NM_001083579</v>
      </c>
      <c r="L85" s="4" t="s">
        <v>71</v>
      </c>
      <c r="M85" s="4">
        <v>8150793</v>
      </c>
      <c r="N85" s="4">
        <v>8157691</v>
      </c>
      <c r="O85" s="4" t="s">
        <v>19</v>
      </c>
      <c r="P85" s="3" t="s">
        <v>1574</v>
      </c>
      <c r="Q85" s="3" t="s">
        <v>1575</v>
      </c>
      <c r="R85" s="3" t="s">
        <v>58</v>
      </c>
      <c r="S85" s="3" t="s">
        <v>59</v>
      </c>
      <c r="T85" s="3" t="s">
        <v>1576</v>
      </c>
      <c r="U85" s="3" t="s">
        <v>1577</v>
      </c>
      <c r="V85" s="4"/>
    </row>
    <row r="86" spans="1:22" customFormat="1" x14ac:dyDescent="0.15">
      <c r="A86" s="3" t="s">
        <v>912</v>
      </c>
      <c r="B86" s="3" t="s">
        <v>913</v>
      </c>
      <c r="C86" s="3" t="s">
        <v>911</v>
      </c>
      <c r="D86" s="4">
        <v>1.708</v>
      </c>
      <c r="E86" s="4">
        <v>2.69</v>
      </c>
      <c r="F86" s="4">
        <v>3.06</v>
      </c>
      <c r="G86" s="4">
        <v>11.35</v>
      </c>
      <c r="H86" s="5">
        <f t="shared" si="1"/>
        <v>3.7091503267973853</v>
      </c>
      <c r="I86" s="6" t="str">
        <f>HYPERLINK("http://genome.ucsc.edu/cgi-bin/hgTracks?clade=vertebrate&amp;org=Zebrafish&amp;db=danRer7&amp;position=chr25:13162594-13200624","chr25:13162594-13200624")</f>
        <v>chr25:13162594-13200624</v>
      </c>
      <c r="J86" s="6" t="str">
        <f>HYPERLINK("http://www.ncbi.nlm.nih.gov/entrez/query.fcgi?db=gene&amp;cmd=Retrieve&amp;list_uids=797250","797250")</f>
        <v>797250</v>
      </c>
      <c r="K86" s="6" t="str">
        <f>HYPERLINK("http://www.ncbi.nlm.nih.gov/entrez/query.fcgi?cmd=Search&amp;db=Nucleotide&amp;term=NM_001128358","NM_001128358")</f>
        <v>NM_001128358</v>
      </c>
      <c r="L86" s="4" t="s">
        <v>60</v>
      </c>
      <c r="M86" s="4">
        <v>13162594</v>
      </c>
      <c r="N86" s="4">
        <v>13200624</v>
      </c>
      <c r="O86" s="4" t="s">
        <v>23</v>
      </c>
      <c r="P86" s="4"/>
      <c r="Q86" s="4"/>
      <c r="R86" s="4"/>
      <c r="S86" s="4"/>
      <c r="T86" s="4"/>
      <c r="U86" s="4"/>
      <c r="V86" s="4"/>
    </row>
    <row r="87" spans="1:22" customFormat="1" x14ac:dyDescent="0.15">
      <c r="A87" s="3" t="s">
        <v>289</v>
      </c>
      <c r="B87" s="3" t="s">
        <v>290</v>
      </c>
      <c r="C87" s="3" t="s">
        <v>288</v>
      </c>
      <c r="D87" s="4">
        <v>1.996</v>
      </c>
      <c r="E87" s="4">
        <v>4.0999999999999996</v>
      </c>
      <c r="F87" s="4">
        <v>4.13</v>
      </c>
      <c r="G87" s="4">
        <v>15.31</v>
      </c>
      <c r="H87" s="5">
        <f t="shared" si="1"/>
        <v>3.7070217917675548</v>
      </c>
      <c r="I87" s="6" t="str">
        <f>HYPERLINK("http://genome.ucsc.edu/cgi-bin/hgTracks?clade=vertebrate&amp;org=Zebrafish&amp;db=danRer7&amp;position=chr4:16348150-16365599","chr4:16348150-16365599")</f>
        <v>chr4:16348150-16365599</v>
      </c>
      <c r="J87" s="6" t="str">
        <f>HYPERLINK("http://www.ncbi.nlm.nih.gov/entrez/query.fcgi?db=gene&amp;cmd=Retrieve&amp;list_uids=337412","337412")</f>
        <v>337412</v>
      </c>
      <c r="K87" s="6" t="str">
        <f>HYPERLINK("http://www.ncbi.nlm.nih.gov/entrez/query.fcgi?cmd=Search&amp;db=Nucleotide&amp;term=NM_200064","NM_200064")</f>
        <v>NM_200064</v>
      </c>
      <c r="L87" s="4" t="s">
        <v>77</v>
      </c>
      <c r="M87" s="4">
        <v>16348150</v>
      </c>
      <c r="N87" s="4">
        <v>16365599</v>
      </c>
      <c r="O87" s="4" t="s">
        <v>23</v>
      </c>
      <c r="P87" s="3" t="s">
        <v>291</v>
      </c>
      <c r="Q87" s="3" t="s">
        <v>292</v>
      </c>
      <c r="R87" s="4"/>
      <c r="S87" s="4"/>
      <c r="T87" s="3" t="s">
        <v>293</v>
      </c>
      <c r="U87" s="3" t="s">
        <v>294</v>
      </c>
      <c r="V87" s="4"/>
    </row>
    <row r="88" spans="1:22" customFormat="1" x14ac:dyDescent="0.15">
      <c r="A88" s="3" t="s">
        <v>1356</v>
      </c>
      <c r="B88" s="3" t="s">
        <v>1357</v>
      </c>
      <c r="C88" s="3" t="s">
        <v>1355</v>
      </c>
      <c r="D88" s="4">
        <v>6.6660000000000004</v>
      </c>
      <c r="E88" s="4">
        <v>9.08</v>
      </c>
      <c r="F88" s="4">
        <v>7.03</v>
      </c>
      <c r="G88" s="4">
        <v>25.82</v>
      </c>
      <c r="H88" s="5">
        <f t="shared" si="1"/>
        <v>3.6728307254623043</v>
      </c>
      <c r="I88" s="6" t="str">
        <f>HYPERLINK("http://genome.ucsc.edu/cgi-bin/hgTracks?clade=vertebrate&amp;org=Zebrafish&amp;db=danRer7&amp;position=chr21:29246063-29281472","chr21:29246063-29281472")</f>
        <v>chr21:29246063-29281472</v>
      </c>
      <c r="J88" s="6" t="str">
        <f>HYPERLINK("http://www.ncbi.nlm.nih.gov/entrez/query.fcgi?db=gene&amp;cmd=Retrieve&amp;list_uids=492363","492363")</f>
        <v>492363</v>
      </c>
      <c r="K88" s="6" t="str">
        <f>HYPERLINK("http://www.ncbi.nlm.nih.gov/entrez/query.fcgi?cmd=Search&amp;db=Nucleotide&amp;term=NM_001007329","NM_001007329")</f>
        <v>NM_001007329</v>
      </c>
      <c r="L88" s="4" t="s">
        <v>83</v>
      </c>
      <c r="M88" s="4">
        <v>29246063</v>
      </c>
      <c r="N88" s="4">
        <v>29281472</v>
      </c>
      <c r="O88" s="4" t="s">
        <v>23</v>
      </c>
      <c r="P88" s="3" t="s">
        <v>1351</v>
      </c>
      <c r="Q88" s="3" t="s">
        <v>1352</v>
      </c>
      <c r="R88" s="3" t="s">
        <v>75</v>
      </c>
      <c r="S88" s="3" t="s">
        <v>76</v>
      </c>
      <c r="T88" s="3" t="s">
        <v>1353</v>
      </c>
      <c r="U88" s="3" t="s">
        <v>1354</v>
      </c>
      <c r="V88" s="4"/>
    </row>
    <row r="89" spans="1:22" customFormat="1" x14ac:dyDescent="0.15">
      <c r="A89" s="3" t="s">
        <v>503</v>
      </c>
      <c r="B89" s="3" t="s">
        <v>504</v>
      </c>
      <c r="C89" s="3" t="s">
        <v>502</v>
      </c>
      <c r="D89" s="4">
        <v>2.5790000000000002</v>
      </c>
      <c r="E89" s="4">
        <v>17.96</v>
      </c>
      <c r="F89" s="4">
        <v>15.89</v>
      </c>
      <c r="G89" s="4">
        <v>58.01</v>
      </c>
      <c r="H89" s="5">
        <f t="shared" si="1"/>
        <v>3.6507237256135934</v>
      </c>
      <c r="I89" s="6" t="str">
        <f>HYPERLINK("http://genome.ucsc.edu/cgi-bin/hgTracks?clade=vertebrate&amp;org=Zebrafish&amp;db=danRer7&amp;position=chr13:174448-184799","chr13:174448-184799")</f>
        <v>chr13:174448-184799</v>
      </c>
      <c r="J89" s="6" t="str">
        <f>HYPERLINK("http://www.ncbi.nlm.nih.gov/entrez/query.fcgi?db=gene&amp;cmd=Retrieve&amp;list_uids=799650","799650")</f>
        <v>799650</v>
      </c>
      <c r="K89" s="6" t="str">
        <f>HYPERLINK("http://www.ncbi.nlm.nih.gov/entrez/query.fcgi?cmd=Search&amp;db=Nucleotide&amp;term=NM_001127335","NM_001127335")</f>
        <v>NM_001127335</v>
      </c>
      <c r="L89" s="4" t="s">
        <v>74</v>
      </c>
      <c r="M89" s="4">
        <v>174448</v>
      </c>
      <c r="N89" s="4">
        <v>184799</v>
      </c>
      <c r="O89" s="4" t="s">
        <v>23</v>
      </c>
      <c r="P89" s="4"/>
      <c r="Q89" s="4"/>
      <c r="R89" s="3" t="s">
        <v>61</v>
      </c>
      <c r="S89" s="3" t="s">
        <v>62</v>
      </c>
      <c r="T89" s="3" t="s">
        <v>505</v>
      </c>
      <c r="U89" s="3" t="s">
        <v>506</v>
      </c>
      <c r="V89" s="4"/>
    </row>
    <row r="90" spans="1:22" customFormat="1" x14ac:dyDescent="0.15">
      <c r="A90" s="3" t="s">
        <v>915</v>
      </c>
      <c r="B90" s="3" t="s">
        <v>916</v>
      </c>
      <c r="C90" s="3" t="s">
        <v>914</v>
      </c>
      <c r="D90" s="4">
        <v>2.0270000000000001</v>
      </c>
      <c r="E90" s="4">
        <v>2.1</v>
      </c>
      <c r="F90" s="4">
        <v>1.93</v>
      </c>
      <c r="G90" s="4">
        <v>7.04</v>
      </c>
      <c r="H90" s="5">
        <f t="shared" si="1"/>
        <v>3.6476683937823835</v>
      </c>
      <c r="I90" s="6" t="str">
        <f>HYPERLINK("http://genome.ucsc.edu/cgi-bin/hgTracks?clade=vertebrate&amp;org=Zebrafish&amp;db=danRer7&amp;position=chr16:13585368-13588073","chr16:13585368-13588073")</f>
        <v>chr16:13585368-13588073</v>
      </c>
      <c r="J90" s="6" t="str">
        <f>HYPERLINK("http://www.ncbi.nlm.nih.gov/entrez/query.fcgi?db=gene&amp;cmd=Retrieve&amp;list_uids=799527","799527")</f>
        <v>799527</v>
      </c>
      <c r="K90" s="6" t="str">
        <f>HYPERLINK("http://www.ncbi.nlm.nih.gov/entrez/query.fcgi?cmd=Search&amp;db=Nucleotide&amp;term=NM_001144813","NM_001144813")</f>
        <v>NM_001144813</v>
      </c>
      <c r="L90" s="4" t="s">
        <v>71</v>
      </c>
      <c r="M90" s="4">
        <v>13585368</v>
      </c>
      <c r="N90" s="4">
        <v>13588073</v>
      </c>
      <c r="O90" s="4" t="s">
        <v>23</v>
      </c>
      <c r="P90" s="4"/>
      <c r="Q90" s="4"/>
      <c r="R90" s="4"/>
      <c r="S90" s="4"/>
      <c r="T90" s="4"/>
      <c r="U90" s="4"/>
      <c r="V90" s="4"/>
    </row>
    <row r="91" spans="1:22" customFormat="1" x14ac:dyDescent="0.15">
      <c r="A91" s="3" t="s">
        <v>1529</v>
      </c>
      <c r="B91" s="3" t="s">
        <v>1529</v>
      </c>
      <c r="C91" s="3" t="s">
        <v>1528</v>
      </c>
      <c r="D91" s="4">
        <v>3.5619999999999998</v>
      </c>
      <c r="E91" s="4">
        <v>5.83</v>
      </c>
      <c r="F91" s="4">
        <v>3.59</v>
      </c>
      <c r="G91" s="4">
        <v>12.95</v>
      </c>
      <c r="H91" s="5">
        <f t="shared" si="1"/>
        <v>3.6072423398328692</v>
      </c>
      <c r="I91" s="6" t="str">
        <f>HYPERLINK("http://genome.ucsc.edu/cgi-bin/hgTracks?clade=vertebrate&amp;org=Zebrafish&amp;db=danRer7&amp;position=chr23:46354748-46366951","chr23:46354748-46366951")</f>
        <v>chr23:46354748-46366951</v>
      </c>
      <c r="J91" s="6" t="str">
        <f>HYPERLINK("http://www.ncbi.nlm.nih.gov/entrez/query.fcgi?db=gene&amp;cmd=Retrieve&amp;list_uids=555962","555962")</f>
        <v>555962</v>
      </c>
      <c r="K91" s="6" t="str">
        <f>HYPERLINK("http://www.ncbi.nlm.nih.gov/entrez/query.fcgi?cmd=Search&amp;db=Nucleotide&amp;term=NM_001030096","NM_001030096")</f>
        <v>NM_001030096</v>
      </c>
      <c r="L91" s="4" t="s">
        <v>80</v>
      </c>
      <c r="M91" s="4">
        <v>46354748</v>
      </c>
      <c r="N91" s="4">
        <v>46366951</v>
      </c>
      <c r="O91" s="4" t="s">
        <v>19</v>
      </c>
      <c r="P91" s="4"/>
      <c r="Q91" s="4"/>
      <c r="R91" s="3" t="s">
        <v>67</v>
      </c>
      <c r="S91" s="3" t="s">
        <v>68</v>
      </c>
      <c r="T91" s="4"/>
      <c r="U91" s="4"/>
      <c r="V91" s="4"/>
    </row>
    <row r="92" spans="1:22" customFormat="1" x14ac:dyDescent="0.15">
      <c r="A92" s="3" t="s">
        <v>1622</v>
      </c>
      <c r="B92" s="3" t="s">
        <v>1623</v>
      </c>
      <c r="C92" s="3" t="s">
        <v>1621</v>
      </c>
      <c r="D92" s="4">
        <v>2.2970000000000002</v>
      </c>
      <c r="E92" s="4">
        <v>3.18</v>
      </c>
      <c r="F92" s="4">
        <v>1.8</v>
      </c>
      <c r="G92" s="4">
        <v>6.48</v>
      </c>
      <c r="H92" s="5">
        <f t="shared" si="1"/>
        <v>3.6</v>
      </c>
      <c r="I92" s="6" t="str">
        <f>HYPERLINK("http://genome.ucsc.edu/cgi-bin/hgTracks?clade=vertebrate&amp;org=Zebrafish&amp;db=danRer7&amp;position=chr20:34762351-34779225","chr20:34762351-34779225")</f>
        <v>chr20:34762351-34779225</v>
      </c>
      <c r="J92" s="6" t="str">
        <f>HYPERLINK("http://www.ncbi.nlm.nih.gov/entrez/query.fcgi?db=gene&amp;cmd=Retrieve&amp;list_uids=566703","566703")</f>
        <v>566703</v>
      </c>
      <c r="K92" s="6" t="str">
        <f>HYPERLINK("http://www.ncbi.nlm.nih.gov/entrez/query.fcgi?cmd=Search&amp;db=Nucleotide&amp;term=NM_001045115","NM_001045115")</f>
        <v>NM_001045115</v>
      </c>
      <c r="L92" s="4" t="s">
        <v>96</v>
      </c>
      <c r="M92" s="4">
        <v>34762351</v>
      </c>
      <c r="N92" s="4">
        <v>34779225</v>
      </c>
      <c r="O92" s="4" t="s">
        <v>19</v>
      </c>
      <c r="P92" s="4"/>
      <c r="Q92" s="4"/>
      <c r="R92" s="3" t="s">
        <v>137</v>
      </c>
      <c r="S92" s="3" t="s">
        <v>138</v>
      </c>
      <c r="T92" s="3" t="s">
        <v>295</v>
      </c>
      <c r="U92" s="3" t="s">
        <v>296</v>
      </c>
      <c r="V92" s="4"/>
    </row>
    <row r="93" spans="1:22" customFormat="1" x14ac:dyDescent="0.15">
      <c r="A93" s="3" t="s">
        <v>49</v>
      </c>
      <c r="B93" s="3" t="s">
        <v>50</v>
      </c>
      <c r="C93" s="3" t="s">
        <v>48</v>
      </c>
      <c r="D93" s="4">
        <v>6.6909999999999998</v>
      </c>
      <c r="E93" s="4">
        <v>33.340000000000003</v>
      </c>
      <c r="F93" s="4">
        <v>32.729999999999997</v>
      </c>
      <c r="G93" s="4">
        <v>116.59</v>
      </c>
      <c r="H93" s="5">
        <f t="shared" si="1"/>
        <v>3.5621753742743665</v>
      </c>
      <c r="I93" s="6" t="str">
        <f>HYPERLINK("http://genome.ucsc.edu/cgi-bin/hgTracks?clade=vertebrate&amp;org=Zebrafish&amp;db=danRer7&amp;position=chr18:18416985-18448162","chr18:18416985-18448162")</f>
        <v>chr18:18416985-18448162</v>
      </c>
      <c r="J93" s="6" t="str">
        <f>HYPERLINK("http://www.ncbi.nlm.nih.gov/entrez/query.fcgi?db=gene&amp;cmd=Retrieve&amp;list_uids=324940","324940")</f>
        <v>324940</v>
      </c>
      <c r="K93" s="6" t="str">
        <f>HYPERLINK("http://www.ncbi.nlm.nih.gov/entrez/query.fcgi?cmd=Search&amp;db=Nucleotide&amp;term=NM_001040035, NM_001044310","NM_001040035, NM_001044310")</f>
        <v>NM_001040035, NM_001044310</v>
      </c>
      <c r="L93" s="4" t="s">
        <v>41</v>
      </c>
      <c r="M93" s="4">
        <v>18416985</v>
      </c>
      <c r="N93" s="4">
        <v>18448162</v>
      </c>
      <c r="O93" s="4" t="s">
        <v>19</v>
      </c>
      <c r="P93" s="3" t="s">
        <v>51</v>
      </c>
      <c r="Q93" s="3" t="s">
        <v>52</v>
      </c>
      <c r="R93" s="3" t="s">
        <v>53</v>
      </c>
      <c r="S93" s="3" t="s">
        <v>54</v>
      </c>
      <c r="T93" s="3" t="s">
        <v>55</v>
      </c>
      <c r="U93" s="3" t="s">
        <v>56</v>
      </c>
      <c r="V93" s="4"/>
    </row>
    <row r="94" spans="1:22" customFormat="1" x14ac:dyDescent="0.15">
      <c r="A94" s="3" t="s">
        <v>1057</v>
      </c>
      <c r="B94" s="3" t="s">
        <v>1058</v>
      </c>
      <c r="C94" s="3" t="s">
        <v>1056</v>
      </c>
      <c r="D94" s="4">
        <v>4.3860000000000001</v>
      </c>
      <c r="E94" s="4">
        <v>2.65</v>
      </c>
      <c r="F94" s="4">
        <v>1.34</v>
      </c>
      <c r="G94" s="4">
        <v>4.76</v>
      </c>
      <c r="H94" s="5">
        <f t="shared" si="1"/>
        <v>3.5522388059701488</v>
      </c>
      <c r="I94" s="6" t="str">
        <f>HYPERLINK("http://genome.ucsc.edu/cgi-bin/hgTracks?clade=vertebrate&amp;org=Zebrafish&amp;db=danRer7&amp;position=chr2:43043671-43061470","chr2:43043671-43061470")</f>
        <v>chr2:43043671-43061470</v>
      </c>
      <c r="J94" s="6" t="str">
        <f>HYPERLINK("http://www.ncbi.nlm.nih.gov/entrez/query.fcgi?db=gene&amp;cmd=Retrieve&amp;list_uids=568941","568941")</f>
        <v>568941</v>
      </c>
      <c r="K94" s="6" t="str">
        <f>HYPERLINK("http://www.ncbi.nlm.nih.gov/entrez/query.fcgi?cmd=Search&amp;db=Nucleotide&amp;term=NM_001080192","NM_001080192")</f>
        <v>NM_001080192</v>
      </c>
      <c r="L94" s="4" t="s">
        <v>79</v>
      </c>
      <c r="M94" s="4">
        <v>43043671</v>
      </c>
      <c r="N94" s="4">
        <v>43061470</v>
      </c>
      <c r="O94" s="4" t="s">
        <v>19</v>
      </c>
      <c r="P94" s="3" t="s">
        <v>1059</v>
      </c>
      <c r="Q94" s="3" t="s">
        <v>1060</v>
      </c>
      <c r="R94" s="4"/>
      <c r="S94" s="4"/>
      <c r="T94" s="3" t="s">
        <v>1061</v>
      </c>
      <c r="U94" s="3" t="s">
        <v>1062</v>
      </c>
      <c r="V94" s="4"/>
    </row>
    <row r="95" spans="1:22" customFormat="1" x14ac:dyDescent="0.15">
      <c r="A95" s="3" t="s">
        <v>356</v>
      </c>
      <c r="B95" s="3" t="s">
        <v>357</v>
      </c>
      <c r="C95" s="3" t="s">
        <v>355</v>
      </c>
      <c r="D95" s="4">
        <v>2.464</v>
      </c>
      <c r="E95" s="4">
        <v>15.17</v>
      </c>
      <c r="F95" s="4">
        <v>27.72</v>
      </c>
      <c r="G95" s="4">
        <v>98.16</v>
      </c>
      <c r="H95" s="5">
        <f t="shared" si="1"/>
        <v>3.5411255411255413</v>
      </c>
      <c r="I95" s="6" t="str">
        <f>HYPERLINK("http://genome.ucsc.edu/cgi-bin/hgTracks?clade=vertebrate&amp;org=Zebrafish&amp;db=danRer7&amp;position=chr8:29301375-29302892","chr8:29301375-29302892")</f>
        <v>chr8:29301375-29302892</v>
      </c>
      <c r="J95" s="6" t="str">
        <f>HYPERLINK("http://www.ncbi.nlm.nih.gov/entrez/query.fcgi?db=gene&amp;cmd=Retrieve&amp;list_uids=140814","140814")</f>
        <v>140814</v>
      </c>
      <c r="K95" s="6" t="str">
        <f>HYPERLINK("http://www.ncbi.nlm.nih.gov/entrez/query.fcgi?cmd=Search&amp;db=Nucleotide&amp;term=NM_131884","NM_131884")</f>
        <v>NM_131884</v>
      </c>
      <c r="L95" s="4" t="s">
        <v>78</v>
      </c>
      <c r="M95" s="4">
        <v>29301375</v>
      </c>
      <c r="N95" s="4">
        <v>29302892</v>
      </c>
      <c r="O95" s="4" t="s">
        <v>19</v>
      </c>
      <c r="P95" s="3" t="s">
        <v>358</v>
      </c>
      <c r="Q95" s="3" t="s">
        <v>359</v>
      </c>
      <c r="R95" s="3" t="s">
        <v>61</v>
      </c>
      <c r="S95" s="3" t="s">
        <v>62</v>
      </c>
      <c r="T95" s="3" t="s">
        <v>259</v>
      </c>
      <c r="U95" s="3" t="s">
        <v>260</v>
      </c>
      <c r="V95" s="4"/>
    </row>
    <row r="96" spans="1:22" customFormat="1" x14ac:dyDescent="0.15">
      <c r="A96" s="3" t="s">
        <v>906</v>
      </c>
      <c r="B96" s="3" t="s">
        <v>907</v>
      </c>
      <c r="C96" s="3" t="s">
        <v>905</v>
      </c>
      <c r="D96" s="4">
        <v>1.2130000000000001</v>
      </c>
      <c r="E96" s="4">
        <v>2.57</v>
      </c>
      <c r="F96" s="4">
        <v>2.3199999999999998</v>
      </c>
      <c r="G96" s="4">
        <v>8.11</v>
      </c>
      <c r="H96" s="5">
        <f t="shared" si="1"/>
        <v>3.4956896551724137</v>
      </c>
      <c r="I96" s="6" t="str">
        <f>HYPERLINK("http://genome.ucsc.edu/cgi-bin/hgTracks?clade=vertebrate&amp;org=Zebrafish&amp;db=danRer7&amp;position=chr14:22233851-22239314","chr14:22233851-22239314")</f>
        <v>chr14:22233851-22239314</v>
      </c>
      <c r="J96" s="6" t="str">
        <f>HYPERLINK("http://www.ncbi.nlm.nih.gov/entrez/query.fcgi?db=gene&amp;cmd=Retrieve&amp;list_uids=568697","568697")</f>
        <v>568697</v>
      </c>
      <c r="K96" s="6" t="str">
        <f>HYPERLINK("http://www.ncbi.nlm.nih.gov/entrez/query.fcgi?cmd=Search&amp;db=Nucleotide&amp;term=NM_001198864","NM_001198864")</f>
        <v>NM_001198864</v>
      </c>
      <c r="L96" s="4" t="s">
        <v>64</v>
      </c>
      <c r="M96" s="4">
        <v>22233851</v>
      </c>
      <c r="N96" s="4">
        <v>22239314</v>
      </c>
      <c r="O96" s="4" t="s">
        <v>19</v>
      </c>
      <c r="P96" s="4"/>
      <c r="Q96" s="4"/>
      <c r="R96" s="4"/>
      <c r="S96" s="4"/>
      <c r="T96" s="4"/>
      <c r="U96" s="4"/>
      <c r="V96" s="4"/>
    </row>
    <row r="97" spans="1:22" customFormat="1" x14ac:dyDescent="0.15">
      <c r="A97" s="3" t="s">
        <v>555</v>
      </c>
      <c r="B97" s="3" t="s">
        <v>556</v>
      </c>
      <c r="C97" s="3" t="s">
        <v>554</v>
      </c>
      <c r="D97" s="4">
        <v>3.6789999999999998</v>
      </c>
      <c r="E97" s="4">
        <v>11.22</v>
      </c>
      <c r="F97" s="4">
        <v>9.3800000000000008</v>
      </c>
      <c r="G97" s="4">
        <v>32.770000000000003</v>
      </c>
      <c r="H97" s="5">
        <f t="shared" si="1"/>
        <v>3.4936034115138592</v>
      </c>
      <c r="I97" s="6" t="str">
        <f>HYPERLINK("http://genome.ucsc.edu/cgi-bin/hgTracks?clade=vertebrate&amp;org=Zebrafish&amp;db=danRer7&amp;position=chr1:55240067-55245449","chr1:55240067-55245449")</f>
        <v>chr1:55240067-55245449</v>
      </c>
      <c r="J97" s="6" t="str">
        <f>HYPERLINK("http://www.ncbi.nlm.nih.gov/entrez/query.fcgi?db=gene&amp;cmd=Retrieve&amp;list_uids=558857","558857")</f>
        <v>558857</v>
      </c>
      <c r="K97" s="6" t="str">
        <f>HYPERLINK("http://www.ncbi.nlm.nih.gov/entrez/query.fcgi?cmd=Search&amp;db=Nucleotide&amp;term=NM_001145567","NM_001145567")</f>
        <v>NM_001145567</v>
      </c>
      <c r="L97" s="4" t="s">
        <v>63</v>
      </c>
      <c r="M97" s="4">
        <v>55240067</v>
      </c>
      <c r="N97" s="4">
        <v>55245449</v>
      </c>
      <c r="O97" s="4" t="s">
        <v>19</v>
      </c>
      <c r="P97" s="4"/>
      <c r="Q97" s="4"/>
      <c r="R97" s="3" t="s">
        <v>557</v>
      </c>
      <c r="S97" s="3" t="s">
        <v>558</v>
      </c>
      <c r="T97" s="4"/>
      <c r="U97" s="4"/>
      <c r="V97" s="4"/>
    </row>
    <row r="98" spans="1:22" customFormat="1" x14ac:dyDescent="0.15">
      <c r="A98" s="3" t="s">
        <v>696</v>
      </c>
      <c r="B98" s="3" t="s">
        <v>697</v>
      </c>
      <c r="C98" s="3" t="s">
        <v>695</v>
      </c>
      <c r="D98" s="4">
        <v>3.7269999999999999</v>
      </c>
      <c r="E98" s="4">
        <v>11.88</v>
      </c>
      <c r="F98" s="4">
        <v>12.46</v>
      </c>
      <c r="G98" s="4">
        <v>42.77</v>
      </c>
      <c r="H98" s="5">
        <f t="shared" si="1"/>
        <v>3.4325842696629212</v>
      </c>
      <c r="I98" s="6" t="str">
        <f>HYPERLINK("http://genome.ucsc.edu/cgi-bin/hgTracks?clade=vertebrate&amp;org=Zebrafish&amp;db=danRer7&amp;position=chr3:33574954-33593882","chr3:33574954-33593882")</f>
        <v>chr3:33574954-33593882</v>
      </c>
      <c r="J98" s="6" t="str">
        <f>HYPERLINK("http://www.ncbi.nlm.nih.gov/entrez/query.fcgi?db=gene&amp;cmd=Retrieve&amp;list_uids=378721","378721")</f>
        <v>378721</v>
      </c>
      <c r="K98" s="6" t="str">
        <f>HYPERLINK("http://www.ncbi.nlm.nih.gov/entrez/query.fcgi?cmd=Search&amp;db=Nucleotide&amp;term=NM_213475","NM_213475")</f>
        <v>NM_213475</v>
      </c>
      <c r="L98" s="4" t="s">
        <v>47</v>
      </c>
      <c r="M98" s="4">
        <v>33574954</v>
      </c>
      <c r="N98" s="4">
        <v>33593882</v>
      </c>
      <c r="O98" s="4" t="s">
        <v>23</v>
      </c>
      <c r="P98" s="4"/>
      <c r="Q98" s="4"/>
      <c r="R98" s="3" t="s">
        <v>67</v>
      </c>
      <c r="S98" s="3" t="s">
        <v>68</v>
      </c>
      <c r="T98" s="3" t="s">
        <v>520</v>
      </c>
      <c r="U98" s="3" t="s">
        <v>521</v>
      </c>
      <c r="V98" s="4"/>
    </row>
    <row r="99" spans="1:22" customFormat="1" x14ac:dyDescent="0.15">
      <c r="A99" s="3" t="s">
        <v>1581</v>
      </c>
      <c r="B99" s="3" t="s">
        <v>1581</v>
      </c>
      <c r="C99" s="3" t="s">
        <v>1580</v>
      </c>
      <c r="D99" s="4">
        <v>3.2349999999999999</v>
      </c>
      <c r="E99" s="4">
        <v>2.54</v>
      </c>
      <c r="F99" s="4">
        <v>1.46</v>
      </c>
      <c r="G99" s="4">
        <v>4.8899999999999997</v>
      </c>
      <c r="H99" s="5">
        <f t="shared" si="1"/>
        <v>3.3493150684931505</v>
      </c>
      <c r="I99" s="6" t="str">
        <f>HYPERLINK("http://genome.ucsc.edu/cgi-bin/hgTracks?clade=vertebrate&amp;org=Zebrafish&amp;db=danRer7&amp;position=chr2:28045791-28068414","chr2:28045791-28068414")</f>
        <v>chr2:28045791-28068414</v>
      </c>
      <c r="J99" s="6" t="str">
        <f>HYPERLINK("http://www.ncbi.nlm.nih.gov/entrez/query.fcgi?db=gene&amp;cmd=Retrieve&amp;list_uids=100038790","100038790")</f>
        <v>100038790</v>
      </c>
      <c r="K99" s="6" t="str">
        <f>HYPERLINK("http://www.ncbi.nlm.nih.gov/entrez/query.fcgi?cmd=Search&amp;db=Nucleotide&amp;term=NM_001089570","NM_001089570")</f>
        <v>NM_001089570</v>
      </c>
      <c r="L99" s="4" t="s">
        <v>79</v>
      </c>
      <c r="M99" s="4">
        <v>28045791</v>
      </c>
      <c r="N99" s="4">
        <v>28068414</v>
      </c>
      <c r="O99" s="4" t="s">
        <v>19</v>
      </c>
      <c r="P99" s="3" t="s">
        <v>422</v>
      </c>
      <c r="Q99" s="3" t="s">
        <v>423</v>
      </c>
      <c r="R99" s="3" t="s">
        <v>67</v>
      </c>
      <c r="S99" s="3" t="s">
        <v>68</v>
      </c>
      <c r="T99" s="3" t="s">
        <v>424</v>
      </c>
      <c r="U99" s="3" t="s">
        <v>425</v>
      </c>
      <c r="V99" s="4"/>
    </row>
    <row r="100" spans="1:22" customFormat="1" x14ac:dyDescent="0.15">
      <c r="A100" s="3" t="s">
        <v>560</v>
      </c>
      <c r="B100" s="3" t="s">
        <v>561</v>
      </c>
      <c r="C100" s="3" t="s">
        <v>559</v>
      </c>
      <c r="D100" s="4">
        <v>7.5860000000000003</v>
      </c>
      <c r="E100" s="4">
        <v>1.38</v>
      </c>
      <c r="F100" s="4">
        <v>1.62</v>
      </c>
      <c r="G100" s="4">
        <v>5.41</v>
      </c>
      <c r="H100" s="5">
        <f t="shared" si="1"/>
        <v>3.3395061728395059</v>
      </c>
      <c r="I100" s="6" t="str">
        <f>HYPERLINK("http://genome.ucsc.edu/cgi-bin/hgTracks?clade=vertebrate&amp;org=Zebrafish&amp;db=danRer7&amp;position=chr3:36854483-36886294","chr3:36854483-36886294")</f>
        <v>chr3:36854483-36886294</v>
      </c>
      <c r="J100" s="6" t="str">
        <f>HYPERLINK("http://www.ncbi.nlm.nih.gov/entrez/query.fcgi?db=gene&amp;cmd=Retrieve&amp;list_uids=664754","664754")</f>
        <v>664754</v>
      </c>
      <c r="K100" s="6" t="str">
        <f>HYPERLINK("http://www.ncbi.nlm.nih.gov/entrez/query.fcgi?cmd=Search&amp;db=Nucleotide&amp;term=NM_001039983","NM_001039983")</f>
        <v>NM_001039983</v>
      </c>
      <c r="L100" s="4" t="s">
        <v>47</v>
      </c>
      <c r="M100" s="4">
        <v>36854483</v>
      </c>
      <c r="N100" s="4">
        <v>36886294</v>
      </c>
      <c r="O100" s="4" t="s">
        <v>23</v>
      </c>
      <c r="P100" s="4"/>
      <c r="Q100" s="4"/>
      <c r="R100" s="4"/>
      <c r="S100" s="4"/>
      <c r="T100" s="3" t="s">
        <v>562</v>
      </c>
      <c r="U100" s="3" t="s">
        <v>563</v>
      </c>
      <c r="V100" s="4"/>
    </row>
    <row r="101" spans="1:22" customFormat="1" x14ac:dyDescent="0.15">
      <c r="A101" s="3" t="s">
        <v>926</v>
      </c>
      <c r="B101" s="3" t="s">
        <v>927</v>
      </c>
      <c r="C101" s="3" t="s">
        <v>925</v>
      </c>
      <c r="D101" s="4">
        <v>1.0049999999999999</v>
      </c>
      <c r="E101" s="4">
        <v>7.41</v>
      </c>
      <c r="F101" s="4">
        <v>8.1</v>
      </c>
      <c r="G101" s="4">
        <v>26.07</v>
      </c>
      <c r="H101" s="5">
        <f t="shared" si="1"/>
        <v>3.2185185185185188</v>
      </c>
      <c r="I101" s="6" t="str">
        <f>HYPERLINK("http://genome.ucsc.edu/cgi-bin/hgTracks?clade=vertebrate&amp;org=Zebrafish&amp;db=danRer7&amp;position=chr15:1177988-1195587","chr15:1177988-1195587")</f>
        <v>chr15:1177988-1195587</v>
      </c>
      <c r="J101" s="6" t="str">
        <f>HYPERLINK("http://www.ncbi.nlm.nih.gov/entrez/query.fcgi?db=gene&amp;cmd=Retrieve&amp;list_uids=494053","494053")</f>
        <v>494053</v>
      </c>
      <c r="K101" s="6" t="str">
        <f>HYPERLINK("http://www.ncbi.nlm.nih.gov/entrez/query.fcgi?cmd=Search&amp;db=Nucleotide&amp;term=NM_001008596","NM_001008596")</f>
        <v>NM_001008596</v>
      </c>
      <c r="L101" s="4" t="s">
        <v>18</v>
      </c>
      <c r="M101" s="4">
        <v>1177988</v>
      </c>
      <c r="N101" s="4">
        <v>1195587</v>
      </c>
      <c r="O101" s="4" t="s">
        <v>19</v>
      </c>
      <c r="P101" s="3" t="s">
        <v>65</v>
      </c>
      <c r="Q101" s="3" t="s">
        <v>66</v>
      </c>
      <c r="R101" s="3" t="s">
        <v>67</v>
      </c>
      <c r="S101" s="3" t="s">
        <v>68</v>
      </c>
      <c r="T101" s="3" t="s">
        <v>24</v>
      </c>
      <c r="U101" s="3" t="s">
        <v>25</v>
      </c>
      <c r="V101" s="4"/>
    </row>
    <row r="102" spans="1:22" customFormat="1" x14ac:dyDescent="0.15">
      <c r="A102" s="3" t="s">
        <v>714</v>
      </c>
      <c r="B102" s="3" t="s">
        <v>715</v>
      </c>
      <c r="C102" s="3" t="s">
        <v>713</v>
      </c>
      <c r="D102" s="4">
        <v>0.73799999999999999</v>
      </c>
      <c r="E102" s="4">
        <v>2.57</v>
      </c>
      <c r="F102" s="4">
        <v>1.34</v>
      </c>
      <c r="G102" s="4">
        <v>4.3099999999999996</v>
      </c>
      <c r="H102" s="5">
        <f t="shared" si="1"/>
        <v>3.2164179104477606</v>
      </c>
      <c r="I102" s="6" t="str">
        <f>HYPERLINK("http://genome.ucsc.edu/cgi-bin/hgTracks?clade=vertebrate&amp;org=Zebrafish&amp;db=danRer7&amp;position=chr11:43073538-43074275","chr11:43073538-43074275")</f>
        <v>chr11:43073538-43074275</v>
      </c>
      <c r="J102" s="6" t="str">
        <f>HYPERLINK("http://www.ncbi.nlm.nih.gov/entrez/query.fcgi?db=gene&amp;cmd=Retrieve&amp;list_uids=30300","30300")</f>
        <v>30300</v>
      </c>
      <c r="K102" s="6" t="str">
        <f>HYPERLINK("http://www.ncbi.nlm.nih.gov/entrez/query.fcgi?cmd=Search&amp;db=Nucleotide&amp;term=NM_131089","NM_131089")</f>
        <v>NM_131089</v>
      </c>
      <c r="L102" s="4" t="s">
        <v>36</v>
      </c>
      <c r="M102" s="4">
        <v>43073538</v>
      </c>
      <c r="N102" s="4">
        <v>43074275</v>
      </c>
      <c r="O102" s="4" t="s">
        <v>19</v>
      </c>
      <c r="P102" s="3" t="s">
        <v>266</v>
      </c>
      <c r="Q102" s="3" t="s">
        <v>267</v>
      </c>
      <c r="R102" s="3" t="s">
        <v>61</v>
      </c>
      <c r="S102" s="3" t="s">
        <v>62</v>
      </c>
      <c r="T102" s="3" t="s">
        <v>230</v>
      </c>
      <c r="U102" s="3" t="s">
        <v>231</v>
      </c>
      <c r="V102" s="4"/>
    </row>
    <row r="103" spans="1:22" customFormat="1" x14ac:dyDescent="0.15">
      <c r="A103" s="3" t="s">
        <v>1519</v>
      </c>
      <c r="B103" s="3" t="s">
        <v>1519</v>
      </c>
      <c r="C103" s="3" t="s">
        <v>1518</v>
      </c>
      <c r="D103" s="4">
        <v>9.1869999999999994</v>
      </c>
      <c r="E103" s="4">
        <v>1.92</v>
      </c>
      <c r="F103" s="4">
        <v>9.9499999999999993</v>
      </c>
      <c r="G103" s="4">
        <v>31.95</v>
      </c>
      <c r="H103" s="5">
        <f t="shared" si="1"/>
        <v>3.2110552763819098</v>
      </c>
      <c r="I103" s="6" t="str">
        <f>HYPERLINK("http://genome.ucsc.edu/cgi-bin/hgTracks?clade=vertebrate&amp;org=Zebrafish&amp;db=danRer7&amp;position=chr3:25087412-25095883","chr3:25087412-25095883")</f>
        <v>chr3:25087412-25095883</v>
      </c>
      <c r="J103" s="6" t="str">
        <f>HYPERLINK("http://www.ncbi.nlm.nih.gov/entrez/query.fcgi?db=gene&amp;cmd=Retrieve&amp;list_uids=550551","550551")</f>
        <v>550551</v>
      </c>
      <c r="K103" s="6" t="str">
        <f>HYPERLINK("http://www.ncbi.nlm.nih.gov/entrez/query.fcgi?cmd=Search&amp;db=Nucleotide&amp;term=NM_001017853","NM_001017853")</f>
        <v>NM_001017853</v>
      </c>
      <c r="L103" s="4" t="s">
        <v>47</v>
      </c>
      <c r="M103" s="4">
        <v>25087412</v>
      </c>
      <c r="N103" s="4">
        <v>25095883</v>
      </c>
      <c r="O103" s="4" t="s">
        <v>23</v>
      </c>
      <c r="P103" s="4"/>
      <c r="Q103" s="4"/>
      <c r="R103" s="3" t="s">
        <v>61</v>
      </c>
      <c r="S103" s="3" t="s">
        <v>62</v>
      </c>
      <c r="T103" s="4"/>
      <c r="U103" s="4"/>
      <c r="V103" s="4"/>
    </row>
    <row r="104" spans="1:22" customFormat="1" x14ac:dyDescent="0.15">
      <c r="A104" s="3" t="s">
        <v>1234</v>
      </c>
      <c r="B104" s="3" t="s">
        <v>1235</v>
      </c>
      <c r="C104" s="3" t="s">
        <v>1233</v>
      </c>
      <c r="D104" s="4">
        <v>1.7769999999999999</v>
      </c>
      <c r="E104" s="4">
        <v>3.69</v>
      </c>
      <c r="F104" s="4">
        <v>6.56</v>
      </c>
      <c r="G104" s="4">
        <v>21</v>
      </c>
      <c r="H104" s="5">
        <f t="shared" si="1"/>
        <v>3.2012195121951224</v>
      </c>
      <c r="I104" s="6" t="str">
        <f>HYPERLINK("http://genome.ucsc.edu/cgi-bin/hgTracks?clade=vertebrate&amp;org=Zebrafish&amp;db=danRer7&amp;position=chr7:27391456-27395874","chr7:27391456-27395874")</f>
        <v>chr7:27391456-27395874</v>
      </c>
      <c r="J104" s="6" t="str">
        <f>HYPERLINK("http://www.ncbi.nlm.nih.gov/entrez/query.fcgi?db=gene&amp;cmd=Retrieve&amp;list_uids=100136840","100136840")</f>
        <v>100136840</v>
      </c>
      <c r="K104" s="6" t="str">
        <f>HYPERLINK("http://www.ncbi.nlm.nih.gov/entrez/query.fcgi?cmd=Search&amp;db=Nucleotide&amp;term=NM_001114559","NM_001114559")</f>
        <v>NM_001114559</v>
      </c>
      <c r="L104" s="4" t="s">
        <v>85</v>
      </c>
      <c r="M104" s="4">
        <v>27391456</v>
      </c>
      <c r="N104" s="4">
        <v>27395874</v>
      </c>
      <c r="O104" s="4" t="s">
        <v>19</v>
      </c>
      <c r="P104" s="3" t="s">
        <v>321</v>
      </c>
      <c r="Q104" s="3" t="s">
        <v>322</v>
      </c>
      <c r="R104" s="3" t="s">
        <v>20</v>
      </c>
      <c r="S104" s="3" t="s">
        <v>21</v>
      </c>
      <c r="T104" s="3" t="s">
        <v>1236</v>
      </c>
      <c r="U104" s="3" t="s">
        <v>1237</v>
      </c>
      <c r="V104" s="4"/>
    </row>
    <row r="105" spans="1:22" customFormat="1" x14ac:dyDescent="0.15">
      <c r="A105" s="3" t="s">
        <v>887</v>
      </c>
      <c r="B105" s="3" t="s">
        <v>888</v>
      </c>
      <c r="C105" s="3" t="s">
        <v>886</v>
      </c>
      <c r="D105" s="4">
        <v>2.488</v>
      </c>
      <c r="E105" s="4">
        <v>3.22</v>
      </c>
      <c r="F105" s="4">
        <v>23.14</v>
      </c>
      <c r="G105" s="4">
        <v>73.650000000000006</v>
      </c>
      <c r="H105" s="5">
        <f t="shared" si="1"/>
        <v>3.1828003457216942</v>
      </c>
      <c r="I105" s="6" t="str">
        <f>HYPERLINK("http://genome.ucsc.edu/cgi-bin/hgTracks?clade=vertebrate&amp;org=Zebrafish&amp;db=danRer7&amp;position=chr14:38206899-38208438","chr14:38206899-38208438")</f>
        <v>chr14:38206899-38208438</v>
      </c>
      <c r="J105" s="6" t="str">
        <f>HYPERLINK("http://www.ncbi.nlm.nih.gov/entrez/query.fcgi?db=gene&amp;cmd=Retrieve&amp;list_uids=567278","567278")</f>
        <v>567278</v>
      </c>
      <c r="K105" s="6" t="str">
        <f>HYPERLINK("http://www.ncbi.nlm.nih.gov/entrez/query.fcgi?cmd=Search&amp;db=Nucleotide&amp;term=NM_001048055","NM_001048055")</f>
        <v>NM_001048055</v>
      </c>
      <c r="L105" s="4" t="s">
        <v>64</v>
      </c>
      <c r="M105" s="4">
        <v>38206899</v>
      </c>
      <c r="N105" s="4">
        <v>38208438</v>
      </c>
      <c r="O105" s="4" t="s">
        <v>23</v>
      </c>
      <c r="P105" s="3" t="s">
        <v>413</v>
      </c>
      <c r="Q105" s="3" t="s">
        <v>414</v>
      </c>
      <c r="R105" s="4"/>
      <c r="S105" s="4"/>
      <c r="T105" s="4"/>
      <c r="U105" s="4"/>
      <c r="V105" s="4"/>
    </row>
    <row r="106" spans="1:22" customFormat="1" x14ac:dyDescent="0.15">
      <c r="A106" s="3" t="s">
        <v>1561</v>
      </c>
      <c r="B106" s="3" t="s">
        <v>1561</v>
      </c>
      <c r="C106" s="3" t="s">
        <v>1560</v>
      </c>
      <c r="D106" s="4">
        <v>1.575</v>
      </c>
      <c r="E106" s="4">
        <v>1.1399999999999999</v>
      </c>
      <c r="F106" s="4">
        <v>1.28</v>
      </c>
      <c r="G106" s="4">
        <v>4.04</v>
      </c>
      <c r="H106" s="5">
        <f t="shared" si="1"/>
        <v>3.15625</v>
      </c>
      <c r="I106" s="6" t="str">
        <f>HYPERLINK("http://genome.ucsc.edu/cgi-bin/hgTracks?clade=vertebrate&amp;org=Zebrafish&amp;db=danRer7&amp;position=chr11:46345028-46405133","chr11:46345028-46405133")</f>
        <v>chr11:46345028-46405133</v>
      </c>
      <c r="J106" s="6" t="str">
        <f>HYPERLINK("http://www.ncbi.nlm.nih.gov/entrez/query.fcgi?db=gene&amp;cmd=Retrieve&amp;list_uids=100004879","100004879")</f>
        <v>100004879</v>
      </c>
      <c r="K106" s="6" t="str">
        <f>HYPERLINK("http://www.ncbi.nlm.nih.gov/entrez/query.fcgi?cmd=Search&amp;db=Nucleotide&amp;term=NM_001110486","NM_001110486")</f>
        <v>NM_001110486</v>
      </c>
      <c r="L106" s="4" t="s">
        <v>36</v>
      </c>
      <c r="M106" s="4">
        <v>46345028</v>
      </c>
      <c r="N106" s="4">
        <v>46405133</v>
      </c>
      <c r="O106" s="4" t="s">
        <v>23</v>
      </c>
      <c r="P106" s="3" t="s">
        <v>65</v>
      </c>
      <c r="Q106" s="3" t="s">
        <v>66</v>
      </c>
      <c r="R106" s="3" t="s">
        <v>67</v>
      </c>
      <c r="S106" s="3" t="s">
        <v>68</v>
      </c>
      <c r="T106" s="3" t="s">
        <v>24</v>
      </c>
      <c r="U106" s="3" t="s">
        <v>25</v>
      </c>
      <c r="V106" s="4"/>
    </row>
    <row r="107" spans="1:22" customFormat="1" x14ac:dyDescent="0.15">
      <c r="A107" s="3" t="s">
        <v>390</v>
      </c>
      <c r="B107" s="3" t="s">
        <v>391</v>
      </c>
      <c r="C107" s="3" t="s">
        <v>389</v>
      </c>
      <c r="D107" s="4">
        <v>1.2669999999999999</v>
      </c>
      <c r="E107" s="4">
        <v>14.51</v>
      </c>
      <c r="F107" s="4">
        <v>3.32</v>
      </c>
      <c r="G107" s="4">
        <v>10.41</v>
      </c>
      <c r="H107" s="5">
        <f t="shared" si="1"/>
        <v>3.1355421686746991</v>
      </c>
      <c r="I107" s="6" t="str">
        <f>HYPERLINK("http://genome.ucsc.edu/cgi-bin/hgTracks?clade=vertebrate&amp;org=Zebrafish&amp;db=danRer7&amp;position=chr19:5974211-5976170","chr19:5974211-5976170")</f>
        <v>chr19:5974211-5976170</v>
      </c>
      <c r="J107" s="6" t="str">
        <f>HYPERLINK("http://www.ncbi.nlm.nih.gov/entrez/query.fcgi?db=gene&amp;cmd=Retrieve&amp;list_uids=30328","30328")</f>
        <v>30328</v>
      </c>
      <c r="K107" s="6" t="str">
        <f>HYPERLINK("http://www.ncbi.nlm.nih.gov/entrez/query.fcgi?cmd=Search&amp;db=Nucleotide&amp;term=NM_131108","NM_131108")</f>
        <v>NM_131108</v>
      </c>
      <c r="L107" s="4" t="s">
        <v>70</v>
      </c>
      <c r="M107" s="4">
        <v>5974211</v>
      </c>
      <c r="N107" s="4">
        <v>5976170</v>
      </c>
      <c r="O107" s="4" t="s">
        <v>19</v>
      </c>
      <c r="P107" s="4"/>
      <c r="Q107" s="4"/>
      <c r="R107" s="3" t="s">
        <v>392</v>
      </c>
      <c r="S107" s="3" t="s">
        <v>393</v>
      </c>
      <c r="T107" s="3" t="s">
        <v>394</v>
      </c>
      <c r="U107" s="3" t="s">
        <v>395</v>
      </c>
      <c r="V107" s="4"/>
    </row>
    <row r="108" spans="1:22" customFormat="1" x14ac:dyDescent="0.15">
      <c r="A108" s="3" t="s">
        <v>107</v>
      </c>
      <c r="B108" s="3" t="s">
        <v>108</v>
      </c>
      <c r="C108" s="3" t="s">
        <v>106</v>
      </c>
      <c r="D108" s="4">
        <v>5.625</v>
      </c>
      <c r="E108" s="4">
        <v>26.5</v>
      </c>
      <c r="F108" s="4">
        <v>22.53</v>
      </c>
      <c r="G108" s="4">
        <v>69.430000000000007</v>
      </c>
      <c r="H108" s="5">
        <f t="shared" si="1"/>
        <v>3.0816688859298713</v>
      </c>
      <c r="I108" s="6" t="str">
        <f>HYPERLINK("http://genome.ucsc.edu/cgi-bin/hgTracks?clade=vertebrate&amp;org=Zebrafish&amp;db=danRer7&amp;position=chr3:17680730-17737693","chr3:17680730-17737693")</f>
        <v>chr3:17680730-17737693</v>
      </c>
      <c r="J108" s="6" t="str">
        <f>HYPERLINK("http://www.ncbi.nlm.nih.gov/entrez/query.fcgi?db=gene&amp;cmd=Retrieve&amp;list_uids=436922","436922")</f>
        <v>436922</v>
      </c>
      <c r="K108" s="6" t="str">
        <f>HYPERLINK("http://www.ncbi.nlm.nih.gov/entrez/query.fcgi?cmd=Search&amp;db=Nucleotide&amp;term=NM_001002649","NM_001002649")</f>
        <v>NM_001002649</v>
      </c>
      <c r="L108" s="4" t="s">
        <v>47</v>
      </c>
      <c r="M108" s="4">
        <v>17680730</v>
      </c>
      <c r="N108" s="4">
        <v>17737693</v>
      </c>
      <c r="O108" s="4" t="s">
        <v>23</v>
      </c>
      <c r="P108" s="3" t="s">
        <v>109</v>
      </c>
      <c r="Q108" s="3" t="s">
        <v>110</v>
      </c>
      <c r="R108" s="3" t="s">
        <v>58</v>
      </c>
      <c r="S108" s="3" t="s">
        <v>59</v>
      </c>
      <c r="T108" s="3" t="s">
        <v>111</v>
      </c>
      <c r="U108" s="3" t="s">
        <v>112</v>
      </c>
      <c r="V108" s="4"/>
    </row>
    <row r="109" spans="1:22" customFormat="1" x14ac:dyDescent="0.15">
      <c r="A109" s="3" t="s">
        <v>1515</v>
      </c>
      <c r="B109" s="3" t="s">
        <v>1515</v>
      </c>
      <c r="C109" s="3" t="s">
        <v>1514</v>
      </c>
      <c r="D109" s="4">
        <v>1.4119999999999999</v>
      </c>
      <c r="E109" s="4">
        <v>15.23</v>
      </c>
      <c r="F109" s="4">
        <v>3.58</v>
      </c>
      <c r="G109" s="4">
        <v>10.85</v>
      </c>
      <c r="H109" s="5">
        <f t="shared" si="1"/>
        <v>3.0307262569832401</v>
      </c>
      <c r="I109" s="6" t="str">
        <f>HYPERLINK("http://genome.ucsc.edu/cgi-bin/hgTracks?clade=vertebrate&amp;org=Zebrafish&amp;db=danRer7&amp;position=chr19:5974118-5976183","chr19:5974118-5976183")</f>
        <v>chr19:5974118-5976183</v>
      </c>
      <c r="J109" s="6" t="str">
        <f>HYPERLINK("http://www.ncbi.nlm.nih.gov/entrez/query.fcgi?db=gene&amp;cmd=Retrieve&amp;list_uids=550522","550522")</f>
        <v>550522</v>
      </c>
      <c r="K109" s="6" t="str">
        <f>HYPERLINK("http://www.ncbi.nlm.nih.gov/entrez/query.fcgi?cmd=Search&amp;db=Nucleotide&amp;term=NM_001017824","NM_001017824")</f>
        <v>NM_001017824</v>
      </c>
      <c r="L109" s="4" t="s">
        <v>70</v>
      </c>
      <c r="M109" s="4">
        <v>5974118</v>
      </c>
      <c r="N109" s="4">
        <v>5976183</v>
      </c>
      <c r="O109" s="4" t="s">
        <v>19</v>
      </c>
      <c r="P109" s="3" t="s">
        <v>65</v>
      </c>
      <c r="Q109" s="3" t="s">
        <v>66</v>
      </c>
      <c r="R109" s="3" t="s">
        <v>392</v>
      </c>
      <c r="S109" s="3" t="s">
        <v>393</v>
      </c>
      <c r="T109" s="3" t="s">
        <v>394</v>
      </c>
      <c r="U109" s="3" t="s">
        <v>395</v>
      </c>
      <c r="V109" s="4"/>
    </row>
    <row r="110" spans="1:22" customFormat="1" x14ac:dyDescent="0.15">
      <c r="A110" s="3" t="s">
        <v>1537</v>
      </c>
      <c r="B110" s="3" t="s">
        <v>1537</v>
      </c>
      <c r="C110" s="3" t="s">
        <v>1536</v>
      </c>
      <c r="D110" s="4">
        <v>1.831</v>
      </c>
      <c r="E110" s="4">
        <v>3.47</v>
      </c>
      <c r="F110" s="4">
        <v>6.24</v>
      </c>
      <c r="G110" s="4">
        <v>18.89</v>
      </c>
      <c r="H110" s="5">
        <f t="shared" si="1"/>
        <v>3.0272435897435899</v>
      </c>
      <c r="I110" s="6" t="str">
        <f>HYPERLINK("http://genome.ucsc.edu/cgi-bin/hgTracks?clade=vertebrate&amp;org=Zebrafish&amp;db=danRer7&amp;position=chr17:33639334-33646812","chr17:33639334-33646812")</f>
        <v>chr17:33639334-33646812</v>
      </c>
      <c r="J110" s="6" t="str">
        <f>HYPERLINK("http://www.ncbi.nlm.nih.gov/entrez/query.fcgi?db=gene&amp;cmd=Retrieve&amp;list_uids=641321","641321")</f>
        <v>641321</v>
      </c>
      <c r="K110" s="6" t="str">
        <f>HYPERLINK("http://www.ncbi.nlm.nih.gov/entrez/query.fcgi?cmd=Search&amp;db=Nucleotide&amp;term=NM_001037117","NM_001037117")</f>
        <v>NM_001037117</v>
      </c>
      <c r="L110" s="4" t="s">
        <v>84</v>
      </c>
      <c r="M110" s="4">
        <v>33639334</v>
      </c>
      <c r="N110" s="4">
        <v>33646812</v>
      </c>
      <c r="O110" s="4" t="s">
        <v>23</v>
      </c>
      <c r="P110" s="3" t="s">
        <v>65</v>
      </c>
      <c r="Q110" s="3" t="s">
        <v>66</v>
      </c>
      <c r="R110" s="3" t="s">
        <v>1508</v>
      </c>
      <c r="S110" s="3" t="s">
        <v>1509</v>
      </c>
      <c r="T110" s="3" t="s">
        <v>24</v>
      </c>
      <c r="U110" s="3" t="s">
        <v>25</v>
      </c>
      <c r="V110" s="4"/>
    </row>
    <row r="111" spans="1:22" customFormat="1" x14ac:dyDescent="0.15">
      <c r="A111" s="3" t="s">
        <v>918</v>
      </c>
      <c r="B111" s="3" t="s">
        <v>919</v>
      </c>
      <c r="C111" s="3" t="s">
        <v>917</v>
      </c>
      <c r="D111" s="4">
        <v>4.6500000000000004</v>
      </c>
      <c r="E111" s="4">
        <v>10.81</v>
      </c>
      <c r="F111" s="4">
        <v>11.46</v>
      </c>
      <c r="G111" s="4">
        <v>34.47</v>
      </c>
      <c r="H111" s="5">
        <f t="shared" si="1"/>
        <v>3.0078534031413611</v>
      </c>
      <c r="I111" s="6" t="str">
        <f>HYPERLINK("http://genome.ucsc.edu/cgi-bin/hgTracks?clade=vertebrate&amp;org=Zebrafish&amp;db=danRer7&amp;position=chr22:15770450-15775057","chr22:15770450-15775057")</f>
        <v>chr22:15770450-15775057</v>
      </c>
      <c r="J111" s="6" t="str">
        <f>HYPERLINK("http://www.ncbi.nlm.nih.gov/entrez/query.fcgi?db=gene&amp;cmd=Retrieve&amp;list_uids=30354","30354")</f>
        <v>30354</v>
      </c>
      <c r="K111" s="6" t="str">
        <f>HYPERLINK("http://www.ncbi.nlm.nih.gov/entrez/query.fcgi?cmd=Search&amp;db=Nucleotide&amp;term=NM_131127","NM_131127")</f>
        <v>NM_131127</v>
      </c>
      <c r="L111" s="4" t="s">
        <v>103</v>
      </c>
      <c r="M111" s="4">
        <v>15770450</v>
      </c>
      <c r="N111" s="4">
        <v>15775057</v>
      </c>
      <c r="O111" s="4" t="s">
        <v>23</v>
      </c>
      <c r="P111" s="3" t="s">
        <v>238</v>
      </c>
      <c r="Q111" s="3" t="s">
        <v>239</v>
      </c>
      <c r="R111" s="4"/>
      <c r="S111" s="4"/>
      <c r="T111" s="3" t="s">
        <v>894</v>
      </c>
      <c r="U111" s="3" t="s">
        <v>895</v>
      </c>
      <c r="V111" s="4"/>
    </row>
    <row r="112" spans="1:22" customFormat="1" x14ac:dyDescent="0.15">
      <c r="A112" s="3" t="s">
        <v>508</v>
      </c>
      <c r="B112" s="3" t="s">
        <v>509</v>
      </c>
      <c r="C112" s="3" t="s">
        <v>507</v>
      </c>
      <c r="D112" s="4">
        <v>2.5960000000000001</v>
      </c>
      <c r="E112" s="4">
        <v>5.51</v>
      </c>
      <c r="F112" s="4">
        <v>5.59</v>
      </c>
      <c r="G112" s="4">
        <v>16.809999999999999</v>
      </c>
      <c r="H112" s="5">
        <f t="shared" si="1"/>
        <v>3.0071556350626119</v>
      </c>
      <c r="I112" s="6" t="str">
        <f>HYPERLINK("http://genome.ucsc.edu/cgi-bin/hgTracks?clade=vertebrate&amp;org=Zebrafish&amp;db=danRer7&amp;position=chr16:12544915-12565810","chr16:12544915-12565810")</f>
        <v>chr16:12544915-12565810</v>
      </c>
      <c r="J112" s="6" t="str">
        <f>HYPERLINK("http://www.ncbi.nlm.nih.gov/entrez/query.fcgi?db=gene&amp;cmd=Retrieve&amp;list_uids=58125","58125")</f>
        <v>58125</v>
      </c>
      <c r="K112" s="6" t="str">
        <f>HYPERLINK("http://www.ncbi.nlm.nih.gov/entrez/query.fcgi?cmd=Search&amp;db=Nucleotide&amp;term=NM_131602","NM_131602")</f>
        <v>NM_131602</v>
      </c>
      <c r="L112" s="4" t="s">
        <v>71</v>
      </c>
      <c r="M112" s="4">
        <v>12544915</v>
      </c>
      <c r="N112" s="4">
        <v>12565810</v>
      </c>
      <c r="O112" s="4" t="s">
        <v>23</v>
      </c>
      <c r="P112" s="3" t="s">
        <v>297</v>
      </c>
      <c r="Q112" s="3" t="s">
        <v>298</v>
      </c>
      <c r="R112" s="4"/>
      <c r="S112" s="4"/>
      <c r="T112" s="4"/>
      <c r="U112" s="4"/>
      <c r="V112" s="4"/>
    </row>
    <row r="113" spans="1:22" customFormat="1" x14ac:dyDescent="0.15">
      <c r="A113" s="3" t="s">
        <v>1359</v>
      </c>
      <c r="B113" s="3" t="s">
        <v>1360</v>
      </c>
      <c r="C113" s="3" t="s">
        <v>1358</v>
      </c>
      <c r="D113" s="4">
        <v>3.956</v>
      </c>
      <c r="E113" s="4">
        <v>6.14</v>
      </c>
      <c r="F113" s="4">
        <v>5.99</v>
      </c>
      <c r="G113" s="4">
        <v>17.989999999999998</v>
      </c>
      <c r="H113" s="5">
        <f t="shared" si="1"/>
        <v>3.0033388981636056</v>
      </c>
      <c r="I113" s="6" t="str">
        <f>HYPERLINK("http://genome.ucsc.edu/cgi-bin/hgTracks?clade=vertebrate&amp;org=Zebrafish&amp;db=danRer7&amp;position=chr10:35985049-36004159","chr10:35985049-36004159")</f>
        <v>chr10:35985049-36004159</v>
      </c>
      <c r="J113" s="6" t="str">
        <f>HYPERLINK("http://www.ncbi.nlm.nih.gov/entrez/query.fcgi?db=gene&amp;cmd=Retrieve&amp;list_uids=445564","445564")</f>
        <v>445564</v>
      </c>
      <c r="K113" s="6" t="str">
        <f>HYPERLINK("http://www.ncbi.nlm.nih.gov/entrez/query.fcgi?cmd=Search&amp;db=Nucleotide&amp;term=NM_001004014","NM_001004014")</f>
        <v>NM_001004014</v>
      </c>
      <c r="L113" s="4" t="s">
        <v>92</v>
      </c>
      <c r="M113" s="4">
        <v>35985049</v>
      </c>
      <c r="N113" s="4">
        <v>36004159</v>
      </c>
      <c r="O113" s="4" t="s">
        <v>19</v>
      </c>
      <c r="P113" s="3" t="s">
        <v>1287</v>
      </c>
      <c r="Q113" s="3" t="s">
        <v>1288</v>
      </c>
      <c r="R113" s="3" t="s">
        <v>1289</v>
      </c>
      <c r="S113" s="3" t="s">
        <v>1290</v>
      </c>
      <c r="T113" s="3" t="s">
        <v>949</v>
      </c>
      <c r="U113" s="3" t="s">
        <v>950</v>
      </c>
      <c r="V113" s="4"/>
    </row>
    <row r="114" spans="1:22" customFormat="1" x14ac:dyDescent="0.15">
      <c r="A114" s="3" t="s">
        <v>200</v>
      </c>
      <c r="B114" s="3" t="s">
        <v>201</v>
      </c>
      <c r="C114" s="3" t="s">
        <v>199</v>
      </c>
      <c r="D114" s="4">
        <v>1.47</v>
      </c>
      <c r="E114" s="4">
        <v>7.5</v>
      </c>
      <c r="F114" s="4">
        <v>2.88</v>
      </c>
      <c r="G114" s="4">
        <v>8.61</v>
      </c>
      <c r="H114" s="5">
        <f t="shared" si="1"/>
        <v>2.989583333333333</v>
      </c>
      <c r="I114" s="6" t="str">
        <f>HYPERLINK("http://genome.ucsc.edu/cgi-bin/hgTracks?clade=vertebrate&amp;org=Zebrafish&amp;db=danRer7&amp;position=chr3:55376412-55396284","chr3:55376412-55396284")</f>
        <v>chr3:55376412-55396284</v>
      </c>
      <c r="J114" s="6" t="str">
        <f>HYPERLINK("http://www.ncbi.nlm.nih.gov/entrez/query.fcgi?db=gene&amp;cmd=Retrieve&amp;list_uids=561927","561927")</f>
        <v>561927</v>
      </c>
      <c r="K114" s="6" t="str">
        <f>HYPERLINK("http://www.ncbi.nlm.nih.gov/entrez/query.fcgi?cmd=Search&amp;db=Nucleotide&amp;term=NM_001014821","NM_001014821")</f>
        <v>NM_001014821</v>
      </c>
      <c r="L114" s="4" t="s">
        <v>47</v>
      </c>
      <c r="M114" s="4">
        <v>55376412</v>
      </c>
      <c r="N114" s="4">
        <v>55396284</v>
      </c>
      <c r="O114" s="4" t="s">
        <v>19</v>
      </c>
      <c r="P114" s="3" t="s">
        <v>197</v>
      </c>
      <c r="Q114" s="3" t="s">
        <v>198</v>
      </c>
      <c r="R114" s="3" t="s">
        <v>161</v>
      </c>
      <c r="S114" s="3" t="s">
        <v>162</v>
      </c>
      <c r="T114" s="3" t="s">
        <v>195</v>
      </c>
      <c r="U114" s="3" t="s">
        <v>196</v>
      </c>
      <c r="V114" s="4"/>
    </row>
    <row r="115" spans="1:22" customFormat="1" x14ac:dyDescent="0.15">
      <c r="A115" s="3" t="s">
        <v>205</v>
      </c>
      <c r="B115" s="3" t="s">
        <v>206</v>
      </c>
      <c r="C115" s="3" t="s">
        <v>204</v>
      </c>
      <c r="D115" s="4">
        <v>1.946</v>
      </c>
      <c r="E115" s="4">
        <v>388.63</v>
      </c>
      <c r="F115" s="4">
        <v>223.81</v>
      </c>
      <c r="G115" s="4">
        <v>668.93</v>
      </c>
      <c r="H115" s="5">
        <f t="shared" si="1"/>
        <v>2.9888298110004019</v>
      </c>
      <c r="I115" s="6" t="str">
        <f>HYPERLINK("http://genome.ucsc.edu/cgi-bin/hgTracks?clade=vertebrate&amp;org=Zebrafish&amp;db=danRer7&amp;position=chr5:27222730-27227674","chr5:27222730-27227674")</f>
        <v>chr5:27222730-27227674</v>
      </c>
      <c r="J115" s="6" t="str">
        <f>HYPERLINK("http://www.ncbi.nlm.nih.gov/entrez/query.fcgi?db=gene&amp;cmd=Retrieve&amp;list_uids=334724","334724")</f>
        <v>334724</v>
      </c>
      <c r="K115" s="6" t="str">
        <f>HYPERLINK("http://www.ncbi.nlm.nih.gov/entrez/query.fcgi?cmd=Search&amp;db=Nucleotide&amp;term=NM_181758","NM_181758")</f>
        <v>NM_181758</v>
      </c>
      <c r="L115" s="4" t="s">
        <v>29</v>
      </c>
      <c r="M115" s="4">
        <v>27222730</v>
      </c>
      <c r="N115" s="4">
        <v>27227674</v>
      </c>
      <c r="O115" s="4" t="s">
        <v>19</v>
      </c>
      <c r="P115" s="4"/>
      <c r="Q115" s="4"/>
      <c r="R115" s="4"/>
      <c r="S115" s="4"/>
      <c r="T115" s="3" t="s">
        <v>207</v>
      </c>
      <c r="U115" s="3" t="s">
        <v>208</v>
      </c>
      <c r="V115" s="4"/>
    </row>
    <row r="116" spans="1:22" customFormat="1" x14ac:dyDescent="0.15">
      <c r="A116" s="3" t="s">
        <v>121</v>
      </c>
      <c r="B116" s="3" t="s">
        <v>122</v>
      </c>
      <c r="C116" s="3" t="s">
        <v>120</v>
      </c>
      <c r="D116" s="4">
        <v>3.851</v>
      </c>
      <c r="E116" s="4">
        <v>2.77</v>
      </c>
      <c r="F116" s="4">
        <v>2.36</v>
      </c>
      <c r="G116" s="4">
        <v>7.05</v>
      </c>
      <c r="H116" s="5">
        <f t="shared" si="1"/>
        <v>2.9872881355932206</v>
      </c>
      <c r="I116" s="6" t="str">
        <f>HYPERLINK("http://genome.ucsc.edu/cgi-bin/hgTracks?clade=vertebrate&amp;org=Zebrafish&amp;db=danRer7&amp;position=chr14:29459069-29479567","chr14:29459069-29479567")</f>
        <v>chr14:29459069-29479567</v>
      </c>
      <c r="J116" s="6" t="str">
        <f>HYPERLINK("http://www.ncbi.nlm.nih.gov/entrez/query.fcgi?db=gene&amp;cmd=Retrieve&amp;list_uids=393622","393622")</f>
        <v>393622</v>
      </c>
      <c r="K116" s="6" t="str">
        <f>HYPERLINK("http://www.ncbi.nlm.nih.gov/entrez/query.fcgi?cmd=Search&amp;db=Nucleotide&amp;term=NM_200649","NM_200649")</f>
        <v>NM_200649</v>
      </c>
      <c r="L116" s="4" t="s">
        <v>64</v>
      </c>
      <c r="M116" s="4">
        <v>29459069</v>
      </c>
      <c r="N116" s="4">
        <v>29479567</v>
      </c>
      <c r="O116" s="4" t="s">
        <v>23</v>
      </c>
      <c r="P116" s="3" t="s">
        <v>37</v>
      </c>
      <c r="Q116" s="3" t="s">
        <v>38</v>
      </c>
      <c r="R116" s="3" t="s">
        <v>67</v>
      </c>
      <c r="S116" s="3" t="s">
        <v>68</v>
      </c>
      <c r="T116" s="3" t="s">
        <v>113</v>
      </c>
      <c r="U116" s="3" t="s">
        <v>114</v>
      </c>
      <c r="V116" s="4"/>
    </row>
    <row r="117" spans="1:22" customFormat="1" x14ac:dyDescent="0.15">
      <c r="A117" s="3" t="s">
        <v>656</v>
      </c>
      <c r="B117" s="3" t="s">
        <v>657</v>
      </c>
      <c r="C117" s="3" t="s">
        <v>655</v>
      </c>
      <c r="D117" s="4">
        <v>1.9370000000000001</v>
      </c>
      <c r="E117" s="4">
        <v>2.7</v>
      </c>
      <c r="F117" s="4">
        <v>2.62</v>
      </c>
      <c r="G117" s="4">
        <v>7.78</v>
      </c>
      <c r="H117" s="5">
        <f t="shared" si="1"/>
        <v>2.9694656488549618</v>
      </c>
      <c r="I117" s="6" t="str">
        <f>HYPERLINK("http://genome.ucsc.edu/cgi-bin/hgTracks?clade=vertebrate&amp;org=Zebrafish&amp;db=danRer7&amp;position=chr2:36660774-36662820","chr2:36660774-36662820")</f>
        <v>chr2:36660774-36662820</v>
      </c>
      <c r="J117" s="6" t="str">
        <f>HYPERLINK("http://www.ncbi.nlm.nih.gov/entrez/query.fcgi?db=gene&amp;cmd=Retrieve&amp;list_uids=497646","497646")</f>
        <v>497646</v>
      </c>
      <c r="K117" s="6" t="str">
        <f>HYPERLINK("http://www.ncbi.nlm.nih.gov/entrez/query.fcgi?cmd=Search&amp;db=Nucleotide&amp;term=NM_001012386","NM_001012386")</f>
        <v>NM_001012386</v>
      </c>
      <c r="L117" s="4" t="s">
        <v>79</v>
      </c>
      <c r="M117" s="4">
        <v>36660774</v>
      </c>
      <c r="N117" s="4">
        <v>36662820</v>
      </c>
      <c r="O117" s="4" t="s">
        <v>23</v>
      </c>
      <c r="P117" s="3" t="s">
        <v>604</v>
      </c>
      <c r="Q117" s="3" t="s">
        <v>605</v>
      </c>
      <c r="R117" s="4"/>
      <c r="S117" s="4"/>
      <c r="T117" s="4"/>
      <c r="U117" s="4"/>
      <c r="V117" s="4"/>
    </row>
    <row r="118" spans="1:22" customFormat="1" x14ac:dyDescent="0.15">
      <c r="A118" s="3" t="s">
        <v>124</v>
      </c>
      <c r="B118" s="3" t="s">
        <v>125</v>
      </c>
      <c r="C118" s="3" t="s">
        <v>123</v>
      </c>
      <c r="D118" s="4">
        <v>7.4690000000000003</v>
      </c>
      <c r="E118" s="4">
        <v>2.5499999999999998</v>
      </c>
      <c r="F118" s="4">
        <v>3.23</v>
      </c>
      <c r="G118" s="4">
        <v>9.57</v>
      </c>
      <c r="H118" s="5">
        <f t="shared" si="1"/>
        <v>2.9628482972136223</v>
      </c>
      <c r="I118" s="6" t="str">
        <f>HYPERLINK("http://genome.ucsc.edu/cgi-bin/hgTracks?clade=vertebrate&amp;org=Zebrafish&amp;db=danRer7&amp;position=chr17:25675637-25695605","chr17:25675637-25695605")</f>
        <v>chr17:25675637-25695605</v>
      </c>
      <c r="J118" s="6" t="str">
        <f>HYPERLINK("http://www.ncbi.nlm.nih.gov/entrez/query.fcgi?db=gene&amp;cmd=Retrieve&amp;list_uids=541435","541435")</f>
        <v>541435</v>
      </c>
      <c r="K118" s="6" t="str">
        <f>HYPERLINK("http://www.ncbi.nlm.nih.gov/entrez/query.fcgi?cmd=Search&amp;db=Nucleotide&amp;term=NM_001080656","NM_001080656")</f>
        <v>NM_001080656</v>
      </c>
      <c r="L118" s="4" t="s">
        <v>84</v>
      </c>
      <c r="M118" s="4">
        <v>25675637</v>
      </c>
      <c r="N118" s="4">
        <v>25695605</v>
      </c>
      <c r="O118" s="4" t="s">
        <v>23</v>
      </c>
      <c r="P118" s="3" t="s">
        <v>37</v>
      </c>
      <c r="Q118" s="3" t="s">
        <v>38</v>
      </c>
      <c r="R118" s="3" t="s">
        <v>67</v>
      </c>
      <c r="S118" s="3" t="s">
        <v>68</v>
      </c>
      <c r="T118" s="3" t="s">
        <v>126</v>
      </c>
      <c r="U118" s="3" t="s">
        <v>127</v>
      </c>
      <c r="V118" s="4"/>
    </row>
    <row r="119" spans="1:22" customFormat="1" x14ac:dyDescent="0.15">
      <c r="A119" s="3" t="s">
        <v>682</v>
      </c>
      <c r="B119" s="3" t="s">
        <v>683</v>
      </c>
      <c r="C119" s="3" t="s">
        <v>681</v>
      </c>
      <c r="D119" s="4">
        <v>1.2829999999999999</v>
      </c>
      <c r="E119" s="4">
        <v>11.43</v>
      </c>
      <c r="F119" s="4">
        <v>9.5399999999999991</v>
      </c>
      <c r="G119" s="4">
        <v>28.25</v>
      </c>
      <c r="H119" s="5">
        <f t="shared" si="1"/>
        <v>2.9612159329140462</v>
      </c>
      <c r="I119" s="6" t="str">
        <f>HYPERLINK("http://genome.ucsc.edu/cgi-bin/hgTracks?clade=vertebrate&amp;org=Zebrafish&amp;db=danRer7&amp;position=chr17:49077694-49091737","chr17:49077694-49091737")</f>
        <v>chr17:49077694-49091737</v>
      </c>
      <c r="J119" s="6" t="str">
        <f>HYPERLINK("http://www.ncbi.nlm.nih.gov/entrez/query.fcgi?db=gene&amp;cmd=Retrieve&amp;list_uids=403338","403338")</f>
        <v>403338</v>
      </c>
      <c r="K119" s="6" t="str">
        <f>HYPERLINK("http://www.ncbi.nlm.nih.gov/entrez/query.fcgi?cmd=Search&amp;db=Nucleotide&amp;term=NM_212816","NM_212816")</f>
        <v>NM_212816</v>
      </c>
      <c r="L119" s="4" t="s">
        <v>84</v>
      </c>
      <c r="M119" s="4">
        <v>49077694</v>
      </c>
      <c r="N119" s="4">
        <v>49091737</v>
      </c>
      <c r="O119" s="4" t="s">
        <v>19</v>
      </c>
      <c r="P119" s="3" t="s">
        <v>684</v>
      </c>
      <c r="Q119" s="3" t="s">
        <v>685</v>
      </c>
      <c r="R119" s="3" t="s">
        <v>58</v>
      </c>
      <c r="S119" s="3" t="s">
        <v>59</v>
      </c>
      <c r="T119" s="3" t="s">
        <v>686</v>
      </c>
      <c r="U119" s="3" t="s">
        <v>687</v>
      </c>
      <c r="V119" s="4"/>
    </row>
    <row r="120" spans="1:22" customFormat="1" x14ac:dyDescent="0.15">
      <c r="A120" s="3" t="s">
        <v>307</v>
      </c>
      <c r="B120" s="3" t="s">
        <v>308</v>
      </c>
      <c r="C120" s="3" t="s">
        <v>306</v>
      </c>
      <c r="D120" s="4">
        <v>3.0009999999999999</v>
      </c>
      <c r="E120" s="4">
        <v>1.92</v>
      </c>
      <c r="F120" s="4">
        <v>1.89</v>
      </c>
      <c r="G120" s="4">
        <v>5.58</v>
      </c>
      <c r="H120" s="5">
        <f t="shared" si="1"/>
        <v>2.9523809523809526</v>
      </c>
      <c r="I120" s="6" t="str">
        <f>HYPERLINK("http://genome.ucsc.edu/cgi-bin/hgTracks?clade=vertebrate&amp;org=Zebrafish&amp;db=danRer7&amp;position=chr4:17911260-17914794","chr4:17911260-17914794")</f>
        <v>chr4:17911260-17914794</v>
      </c>
      <c r="J120" s="6" t="str">
        <f>HYPERLINK("http://www.ncbi.nlm.nih.gov/entrez/query.fcgi?db=gene&amp;cmd=Retrieve&amp;list_uids=564030","564030")</f>
        <v>564030</v>
      </c>
      <c r="K120" s="6" t="str">
        <f>HYPERLINK("http://www.ncbi.nlm.nih.gov/entrez/query.fcgi?cmd=Search&amp;db=Nucleotide&amp;term=NM_001045038","NM_001045038")</f>
        <v>NM_001045038</v>
      </c>
      <c r="L120" s="4" t="s">
        <v>77</v>
      </c>
      <c r="M120" s="4">
        <v>17911260</v>
      </c>
      <c r="N120" s="4">
        <v>17914794</v>
      </c>
      <c r="O120" s="4" t="s">
        <v>23</v>
      </c>
      <c r="P120" s="3" t="s">
        <v>309</v>
      </c>
      <c r="Q120" s="3" t="s">
        <v>310</v>
      </c>
      <c r="R120" s="4"/>
      <c r="S120" s="4"/>
      <c r="T120" s="4"/>
      <c r="U120" s="4"/>
      <c r="V120" s="4"/>
    </row>
    <row r="121" spans="1:22" customFormat="1" x14ac:dyDescent="0.15">
      <c r="A121" s="3" t="s">
        <v>1114</v>
      </c>
      <c r="B121" s="3" t="s">
        <v>1115</v>
      </c>
      <c r="C121" s="3" t="s">
        <v>1113</v>
      </c>
      <c r="D121" s="4">
        <v>4.6740000000000004</v>
      </c>
      <c r="E121" s="4">
        <v>3.79</v>
      </c>
      <c r="F121" s="4">
        <v>2.21</v>
      </c>
      <c r="G121" s="4">
        <v>6.52</v>
      </c>
      <c r="H121" s="5">
        <f t="shared" si="1"/>
        <v>2.9502262443438911</v>
      </c>
      <c r="I121" s="6" t="str">
        <f>HYPERLINK("http://genome.ucsc.edu/cgi-bin/hgTracks?clade=vertebrate&amp;org=Zebrafish&amp;db=danRer7&amp;position=chr10:8746745-8746979","chr10:8746745-8746979")</f>
        <v>chr10:8746745-8746979</v>
      </c>
      <c r="J121" s="6" t="str">
        <f>HYPERLINK("http://www.ncbi.nlm.nih.gov/entrez/query.fcgi?db=gene&amp;cmd=Retrieve&amp;list_uids=751765","751765")</f>
        <v>751765</v>
      </c>
      <c r="K121" s="6" t="str">
        <f>HYPERLINK("http://www.ncbi.nlm.nih.gov/entrez/query.fcgi?cmd=Search&amp;db=Nucleotide&amp;term=NM_001045474","NM_001045474")</f>
        <v>NM_001045474</v>
      </c>
      <c r="L121" s="4" t="s">
        <v>92</v>
      </c>
      <c r="M121" s="4">
        <v>8746745</v>
      </c>
      <c r="N121" s="4">
        <v>8746979</v>
      </c>
      <c r="O121" s="4" t="s">
        <v>23</v>
      </c>
      <c r="P121" s="3" t="s">
        <v>1116</v>
      </c>
      <c r="Q121" s="3" t="s">
        <v>1117</v>
      </c>
      <c r="R121" s="3" t="s">
        <v>67</v>
      </c>
      <c r="S121" s="3" t="s">
        <v>68</v>
      </c>
      <c r="T121" s="3" t="s">
        <v>24</v>
      </c>
      <c r="U121" s="3" t="s">
        <v>25</v>
      </c>
      <c r="V121" s="4"/>
    </row>
    <row r="122" spans="1:22" customFormat="1" x14ac:dyDescent="0.15">
      <c r="A122" s="3" t="s">
        <v>763</v>
      </c>
      <c r="B122" s="3" t="s">
        <v>764</v>
      </c>
      <c r="C122" s="3" t="s">
        <v>762</v>
      </c>
      <c r="D122" s="4">
        <v>4.2729999999999997</v>
      </c>
      <c r="E122" s="4">
        <v>127.09</v>
      </c>
      <c r="F122" s="4">
        <v>92.13</v>
      </c>
      <c r="G122" s="4">
        <v>271.33</v>
      </c>
      <c r="H122" s="5">
        <f t="shared" si="1"/>
        <v>2.9450776077282099</v>
      </c>
      <c r="I122" s="6" t="str">
        <f>HYPERLINK("http://genome.ucsc.edu/cgi-bin/hgTracks?clade=vertebrate&amp;org=Zebrafish&amp;db=danRer7&amp;position=chr15:28732298-28736506","chr15:28732298-28736506")</f>
        <v>chr15:28732298-28736506</v>
      </c>
      <c r="J122" s="6" t="str">
        <f>HYPERLINK("http://www.ncbi.nlm.nih.gov/entrez/query.fcgi?db=gene&amp;cmd=Retrieve&amp;list_uids=30449","30449")</f>
        <v>30449</v>
      </c>
      <c r="K122" s="6" t="str">
        <f>HYPERLINK("http://www.ncbi.nlm.nih.gov/entrez/query.fcgi?cmd=Search&amp;db=Nucleotide&amp;term=NM_131204","NM_131204")</f>
        <v>NM_131204</v>
      </c>
      <c r="L122" s="4" t="s">
        <v>18</v>
      </c>
      <c r="M122" s="4">
        <v>28732298</v>
      </c>
      <c r="N122" s="4">
        <v>28736506</v>
      </c>
      <c r="O122" s="4" t="s">
        <v>19</v>
      </c>
      <c r="P122" s="3" t="s">
        <v>765</v>
      </c>
      <c r="Q122" s="3" t="s">
        <v>766</v>
      </c>
      <c r="R122" s="3" t="s">
        <v>58</v>
      </c>
      <c r="S122" s="3" t="s">
        <v>59</v>
      </c>
      <c r="T122" s="3" t="s">
        <v>163</v>
      </c>
      <c r="U122" s="3" t="s">
        <v>164</v>
      </c>
      <c r="V122" s="4"/>
    </row>
    <row r="123" spans="1:22" customFormat="1" x14ac:dyDescent="0.15">
      <c r="A123" s="3" t="s">
        <v>646</v>
      </c>
      <c r="B123" s="3" t="s">
        <v>647</v>
      </c>
      <c r="C123" s="3" t="s">
        <v>645</v>
      </c>
      <c r="D123" s="4">
        <v>2.3220000000000001</v>
      </c>
      <c r="E123" s="4">
        <v>4.67</v>
      </c>
      <c r="F123" s="4">
        <v>5.6</v>
      </c>
      <c r="G123" s="4">
        <v>16.309999999999999</v>
      </c>
      <c r="H123" s="5">
        <f t="shared" si="1"/>
        <v>2.9125000000000001</v>
      </c>
      <c r="I123" s="6" t="str">
        <f>HYPERLINK("http://genome.ucsc.edu/cgi-bin/hgTracks?clade=vertebrate&amp;org=Zebrafish&amp;db=danRer7&amp;position=chr25:3025513-3032475","chr25:3025513-3032475")</f>
        <v>chr25:3025513-3032475</v>
      </c>
      <c r="J123" s="6" t="str">
        <f>HYPERLINK("http://www.ncbi.nlm.nih.gov/entrez/query.fcgi?db=gene&amp;cmd=Retrieve&amp;list_uids=447823","447823")</f>
        <v>447823</v>
      </c>
      <c r="K123" s="6" t="str">
        <f>HYPERLINK("http://www.ncbi.nlm.nih.gov/entrez/query.fcgi?cmd=Search&amp;db=Nucleotide&amp;term=NM_001004562","NM_001004562")</f>
        <v>NM_001004562</v>
      </c>
      <c r="L123" s="4" t="s">
        <v>60</v>
      </c>
      <c r="M123" s="4">
        <v>3025513</v>
      </c>
      <c r="N123" s="4">
        <v>3032475</v>
      </c>
      <c r="O123" s="4" t="s">
        <v>23</v>
      </c>
      <c r="P123" s="3" t="s">
        <v>641</v>
      </c>
      <c r="Q123" s="3" t="s">
        <v>642</v>
      </c>
      <c r="R123" s="3" t="s">
        <v>67</v>
      </c>
      <c r="S123" s="3" t="s">
        <v>68</v>
      </c>
      <c r="T123" s="3" t="s">
        <v>643</v>
      </c>
      <c r="U123" s="3" t="s">
        <v>644</v>
      </c>
      <c r="V123" s="4"/>
    </row>
    <row r="124" spans="1:22" customFormat="1" x14ac:dyDescent="0.15">
      <c r="A124" s="3" t="s">
        <v>1462</v>
      </c>
      <c r="B124" s="3" t="s">
        <v>1463</v>
      </c>
      <c r="C124" s="3" t="s">
        <v>1461</v>
      </c>
      <c r="D124" s="4">
        <v>4.1159999999999997</v>
      </c>
      <c r="E124" s="4">
        <v>5.49</v>
      </c>
      <c r="F124" s="4">
        <v>3.24</v>
      </c>
      <c r="G124" s="4">
        <v>9.43</v>
      </c>
      <c r="H124" s="5">
        <f t="shared" si="1"/>
        <v>2.9104938271604937</v>
      </c>
      <c r="I124" s="6" t="str">
        <f>HYPERLINK("http://genome.ucsc.edu/cgi-bin/hgTracks?clade=vertebrate&amp;org=Zebrafish&amp;db=danRer7&amp;position=chr16:4642265-4671203","chr16:4642265-4671203")</f>
        <v>chr16:4642265-4671203</v>
      </c>
      <c r="J124" s="6" t="str">
        <f>HYPERLINK("http://www.ncbi.nlm.nih.gov/entrez/query.fcgi?db=gene&amp;cmd=Retrieve&amp;list_uids=30682","30682")</f>
        <v>30682</v>
      </c>
      <c r="K124" s="6" t="str">
        <f>HYPERLINK("http://www.ncbi.nlm.nih.gov/entrez/query.fcgi?cmd=Search&amp;db=Nucleotide&amp;term=NM_001110349, NM_131408","NM_001110349, NM_131408")</f>
        <v>NM_001110349, NM_131408</v>
      </c>
      <c r="L124" s="4" t="s">
        <v>71</v>
      </c>
      <c r="M124" s="4">
        <v>4642265</v>
      </c>
      <c r="N124" s="4">
        <v>4671203</v>
      </c>
      <c r="O124" s="4" t="s">
        <v>23</v>
      </c>
      <c r="P124" s="3" t="s">
        <v>1464</v>
      </c>
      <c r="Q124" s="3" t="s">
        <v>1465</v>
      </c>
      <c r="R124" s="3" t="s">
        <v>1466</v>
      </c>
      <c r="S124" s="3" t="s">
        <v>1467</v>
      </c>
      <c r="T124" s="3" t="s">
        <v>1468</v>
      </c>
      <c r="U124" s="3" t="s">
        <v>1469</v>
      </c>
      <c r="V124" s="4"/>
    </row>
    <row r="125" spans="1:22" customFormat="1" x14ac:dyDescent="0.15">
      <c r="A125" s="3" t="s">
        <v>618</v>
      </c>
      <c r="B125" s="3" t="s">
        <v>619</v>
      </c>
      <c r="C125" s="3" t="s">
        <v>617</v>
      </c>
      <c r="D125" s="4">
        <v>3.585</v>
      </c>
      <c r="E125" s="4">
        <v>3.27</v>
      </c>
      <c r="F125" s="4">
        <v>1.79</v>
      </c>
      <c r="G125" s="4">
        <v>5.19</v>
      </c>
      <c r="H125" s="5">
        <f t="shared" si="1"/>
        <v>2.8994413407821229</v>
      </c>
      <c r="I125" s="6" t="str">
        <f>HYPERLINK("http://genome.ucsc.edu/cgi-bin/hgTracks?clade=vertebrate&amp;org=Zebrafish&amp;db=danRer7&amp;position=chr20:26713547-26715002","chr20:26713547-26715002")</f>
        <v>chr20:26713547-26715002</v>
      </c>
      <c r="J125" s="6" t="str">
        <f>HYPERLINK("http://www.ncbi.nlm.nih.gov/entrez/query.fcgi?db=gene&amp;cmd=Retrieve&amp;list_uids=405843","405843")</f>
        <v>405843</v>
      </c>
      <c r="K125" s="6" t="str">
        <f>HYPERLINK("http://www.ncbi.nlm.nih.gov/entrez/query.fcgi?cmd=Search&amp;db=Nucleotide&amp;term=NM_212907","NM_212907")</f>
        <v>NM_212907</v>
      </c>
      <c r="L125" s="4" t="s">
        <v>96</v>
      </c>
      <c r="M125" s="4">
        <v>26713547</v>
      </c>
      <c r="N125" s="4">
        <v>26715002</v>
      </c>
      <c r="O125" s="4" t="s">
        <v>23</v>
      </c>
      <c r="P125" s="3" t="s">
        <v>266</v>
      </c>
      <c r="Q125" s="3" t="s">
        <v>267</v>
      </c>
      <c r="R125" s="3" t="s">
        <v>61</v>
      </c>
      <c r="S125" s="3" t="s">
        <v>62</v>
      </c>
      <c r="T125" s="3" t="s">
        <v>191</v>
      </c>
      <c r="U125" s="3" t="s">
        <v>192</v>
      </c>
      <c r="V125" s="4"/>
    </row>
    <row r="126" spans="1:22" customFormat="1" x14ac:dyDescent="0.15">
      <c r="A126" s="3" t="s">
        <v>1080</v>
      </c>
      <c r="B126" s="3" t="s">
        <v>1081</v>
      </c>
      <c r="C126" s="3" t="s">
        <v>1079</v>
      </c>
      <c r="D126" s="4">
        <v>4.1840000000000002</v>
      </c>
      <c r="E126" s="4">
        <v>70.150000000000006</v>
      </c>
      <c r="F126" s="4">
        <v>38.07</v>
      </c>
      <c r="G126" s="4">
        <v>109.96</v>
      </c>
      <c r="H126" s="5">
        <f t="shared" si="1"/>
        <v>2.8883635408458104</v>
      </c>
      <c r="I126" s="6" t="str">
        <f>HYPERLINK("http://genome.ucsc.edu/cgi-bin/hgTracks?clade=vertebrate&amp;org=Zebrafish&amp;db=danRer7&amp;position=chr9:49173963-49201709","chr9:49173963-49201709")</f>
        <v>chr9:49173963-49201709</v>
      </c>
      <c r="J126" s="6" t="str">
        <f>HYPERLINK("http://www.ncbi.nlm.nih.gov/entrez/query.fcgi?db=gene&amp;cmd=Retrieve&amp;list_uids=321928","321928")</f>
        <v>321928</v>
      </c>
      <c r="K126" s="6" t="str">
        <f>HYPERLINK("http://www.ncbi.nlm.nih.gov/entrez/query.fcgi?cmd=Search&amp;db=Nucleotide&amp;term=NM_199577","NM_199577")</f>
        <v>NM_199577</v>
      </c>
      <c r="L126" s="4" t="s">
        <v>22</v>
      </c>
      <c r="M126" s="4">
        <v>49173963</v>
      </c>
      <c r="N126" s="4">
        <v>49201709</v>
      </c>
      <c r="O126" s="4" t="s">
        <v>19</v>
      </c>
      <c r="P126" s="3" t="s">
        <v>1082</v>
      </c>
      <c r="Q126" s="3" t="s">
        <v>1083</v>
      </c>
      <c r="R126" s="3" t="s">
        <v>67</v>
      </c>
      <c r="S126" s="3" t="s">
        <v>68</v>
      </c>
      <c r="T126" s="3" t="s">
        <v>1084</v>
      </c>
      <c r="U126" s="3" t="s">
        <v>1085</v>
      </c>
      <c r="V126" s="4"/>
    </row>
    <row r="127" spans="1:22" customFormat="1" x14ac:dyDescent="0.15">
      <c r="A127" s="3" t="s">
        <v>1457</v>
      </c>
      <c r="B127" s="3" t="s">
        <v>1458</v>
      </c>
      <c r="C127" s="3" t="s">
        <v>1456</v>
      </c>
      <c r="D127" s="4">
        <v>1.0229999999999999</v>
      </c>
      <c r="E127" s="4">
        <v>4.16</v>
      </c>
      <c r="F127" s="4">
        <v>2.57</v>
      </c>
      <c r="G127" s="4">
        <v>7.42</v>
      </c>
      <c r="H127" s="5">
        <f t="shared" si="1"/>
        <v>2.8871595330739299</v>
      </c>
      <c r="I127" s="6" t="str">
        <f>HYPERLINK("http://genome.ucsc.edu/cgi-bin/hgTracks?clade=vertebrate&amp;org=Zebrafish&amp;db=danRer7&amp;position=chr10:46355492-46360626","chr10:46355492-46360626")</f>
        <v>chr10:46355492-46360626</v>
      </c>
      <c r="J127" s="6" t="str">
        <f>HYPERLINK("http://www.ncbi.nlm.nih.gov/entrez/query.fcgi?db=gene&amp;cmd=Retrieve&amp;list_uids=368201","368201")</f>
        <v>368201</v>
      </c>
      <c r="K127" s="6" t="str">
        <f>HYPERLINK("http://www.ncbi.nlm.nih.gov/entrez/query.fcgi?cmd=Search&amp;db=Nucleotide&amp;term=NM_183074","NM_183074")</f>
        <v>NM_183074</v>
      </c>
      <c r="L127" s="4" t="s">
        <v>92</v>
      </c>
      <c r="M127" s="4">
        <v>46355492</v>
      </c>
      <c r="N127" s="4">
        <v>46360626</v>
      </c>
      <c r="O127" s="4" t="s">
        <v>23</v>
      </c>
      <c r="P127" s="3" t="s">
        <v>1459</v>
      </c>
      <c r="Q127" s="3" t="s">
        <v>1460</v>
      </c>
      <c r="R127" s="3" t="s">
        <v>61</v>
      </c>
      <c r="S127" s="3" t="s">
        <v>62</v>
      </c>
      <c r="T127" s="3" t="s">
        <v>191</v>
      </c>
      <c r="U127" s="3" t="s">
        <v>192</v>
      </c>
      <c r="V127" s="4"/>
    </row>
    <row r="128" spans="1:22" customFormat="1" x14ac:dyDescent="0.15">
      <c r="A128" s="3" t="s">
        <v>1539</v>
      </c>
      <c r="B128" s="3" t="s">
        <v>1539</v>
      </c>
      <c r="C128" s="3" t="s">
        <v>1538</v>
      </c>
      <c r="D128" s="4">
        <v>2.556</v>
      </c>
      <c r="E128" s="4">
        <v>2.71</v>
      </c>
      <c r="F128" s="4">
        <v>3.06</v>
      </c>
      <c r="G128" s="4">
        <v>8.75</v>
      </c>
      <c r="H128" s="5">
        <f t="shared" si="1"/>
        <v>2.8594771241830066</v>
      </c>
      <c r="I128" s="6" t="str">
        <f>HYPERLINK("http://genome.ucsc.edu/cgi-bin/hgTracks?clade=vertebrate&amp;org=Zebrafish&amp;db=danRer7&amp;position=chr15:24438369-24447265","chr15:24438369-24447265")</f>
        <v>chr15:24438369-24447265</v>
      </c>
      <c r="J128" s="6" t="str">
        <f>HYPERLINK("http://www.ncbi.nlm.nih.gov/entrez/query.fcgi?db=gene&amp;cmd=Retrieve&amp;list_uids=641427","641427")</f>
        <v>641427</v>
      </c>
      <c r="K128" s="6" t="str">
        <f>HYPERLINK("http://www.ncbi.nlm.nih.gov/entrez/query.fcgi?cmd=Search&amp;db=Nucleotide&amp;term=NM_001037413","NM_001037413")</f>
        <v>NM_001037413</v>
      </c>
      <c r="L128" s="4" t="s">
        <v>18</v>
      </c>
      <c r="M128" s="4">
        <v>24438369</v>
      </c>
      <c r="N128" s="4">
        <v>24447265</v>
      </c>
      <c r="O128" s="4" t="s">
        <v>19</v>
      </c>
      <c r="P128" s="3" t="s">
        <v>65</v>
      </c>
      <c r="Q128" s="3" t="s">
        <v>66</v>
      </c>
      <c r="R128" s="3" t="s">
        <v>67</v>
      </c>
      <c r="S128" s="3" t="s">
        <v>68</v>
      </c>
      <c r="T128" s="3" t="s">
        <v>24</v>
      </c>
      <c r="U128" s="3" t="s">
        <v>25</v>
      </c>
      <c r="V128" s="4"/>
    </row>
    <row r="129" spans="1:22" customFormat="1" x14ac:dyDescent="0.15">
      <c r="A129" s="3" t="s">
        <v>615</v>
      </c>
      <c r="B129" s="3" t="s">
        <v>616</v>
      </c>
      <c r="C129" s="3" t="s">
        <v>614</v>
      </c>
      <c r="D129" s="4">
        <v>5.1120000000000001</v>
      </c>
      <c r="E129" s="4">
        <v>4.97</v>
      </c>
      <c r="F129" s="4">
        <v>13.03</v>
      </c>
      <c r="G129" s="4">
        <v>36.79</v>
      </c>
      <c r="H129" s="5">
        <f t="shared" si="1"/>
        <v>2.8234842670759788</v>
      </c>
      <c r="I129" s="6" t="str">
        <f>HYPERLINK("http://genome.ucsc.edu/cgi-bin/hgTracks?clade=vertebrate&amp;org=Zebrafish&amp;db=danRer7&amp;position=chr17:41427846-41443740","chr17:41427846-41443740")</f>
        <v>chr17:41427846-41443740</v>
      </c>
      <c r="J129" s="6" t="str">
        <f>HYPERLINK("http://www.ncbi.nlm.nih.gov/entrez/query.fcgi?db=gene&amp;cmd=Retrieve&amp;list_uids=558921","558921")</f>
        <v>558921</v>
      </c>
      <c r="K129" s="6" t="str">
        <f>HYPERLINK("http://www.ncbi.nlm.nih.gov/entrez/query.fcgi?cmd=Search&amp;db=Nucleotide&amp;term=NM_001082998","NM_001082998")</f>
        <v>NM_001082998</v>
      </c>
      <c r="L129" s="4" t="s">
        <v>84</v>
      </c>
      <c r="M129" s="4">
        <v>41427846</v>
      </c>
      <c r="N129" s="4">
        <v>41443740</v>
      </c>
      <c r="O129" s="4" t="s">
        <v>23</v>
      </c>
      <c r="P129" s="3" t="s">
        <v>151</v>
      </c>
      <c r="Q129" s="3" t="s">
        <v>152</v>
      </c>
      <c r="R129" s="3" t="s">
        <v>61</v>
      </c>
      <c r="S129" s="3" t="s">
        <v>62</v>
      </c>
      <c r="T129" s="3" t="s">
        <v>259</v>
      </c>
      <c r="U129" s="3" t="s">
        <v>260</v>
      </c>
      <c r="V129" s="4"/>
    </row>
    <row r="130" spans="1:22" customFormat="1" x14ac:dyDescent="0.15">
      <c r="A130" s="3" t="s">
        <v>1072</v>
      </c>
      <c r="B130" s="3" t="s">
        <v>1073</v>
      </c>
      <c r="C130" s="3" t="s">
        <v>1071</v>
      </c>
      <c r="D130" s="4">
        <v>6.3289999999999997</v>
      </c>
      <c r="E130" s="4">
        <v>5.32</v>
      </c>
      <c r="F130" s="4">
        <v>4.83</v>
      </c>
      <c r="G130" s="4">
        <v>13.49</v>
      </c>
      <c r="H130" s="5">
        <f t="shared" si="1"/>
        <v>2.7929606625258798</v>
      </c>
      <c r="I130" s="6" t="str">
        <f>HYPERLINK("http://genome.ucsc.edu/cgi-bin/hgTracks?clade=vertebrate&amp;org=Zebrafish&amp;db=danRer7&amp;position=chr17:23386591-23406844","chr17:23386591-23406844")</f>
        <v>chr17:23386591-23406844</v>
      </c>
      <c r="J130" s="6" t="str">
        <f>HYPERLINK("http://www.ncbi.nlm.nih.gov/entrez/query.fcgi?db=gene&amp;cmd=Retrieve&amp;list_uids=406789","406789")</f>
        <v>406789</v>
      </c>
      <c r="K130" s="6" t="str">
        <f>HYPERLINK("http://www.ncbi.nlm.nih.gov/entrez/query.fcgi?cmd=Search&amp;db=Nucleotide&amp;term=NM_213480","NM_213480")</f>
        <v>NM_213480</v>
      </c>
      <c r="L130" s="4" t="s">
        <v>84</v>
      </c>
      <c r="M130" s="4">
        <v>23386591</v>
      </c>
      <c r="N130" s="4">
        <v>23406844</v>
      </c>
      <c r="O130" s="4" t="s">
        <v>23</v>
      </c>
      <c r="P130" s="3" t="s">
        <v>498</v>
      </c>
      <c r="Q130" s="3" t="s">
        <v>499</v>
      </c>
      <c r="R130" s="3" t="s">
        <v>67</v>
      </c>
      <c r="S130" s="3" t="s">
        <v>68</v>
      </c>
      <c r="T130" s="3" t="s">
        <v>1074</v>
      </c>
      <c r="U130" s="3" t="s">
        <v>1075</v>
      </c>
      <c r="V130" s="4"/>
    </row>
    <row r="131" spans="1:22" customFormat="1" x14ac:dyDescent="0.15">
      <c r="A131" s="3" t="s">
        <v>409</v>
      </c>
      <c r="B131" s="3" t="s">
        <v>410</v>
      </c>
      <c r="C131" s="3" t="s">
        <v>408</v>
      </c>
      <c r="D131" s="4">
        <v>1.99</v>
      </c>
      <c r="E131" s="4">
        <v>4.3</v>
      </c>
      <c r="F131" s="4">
        <v>2.3199999999999998</v>
      </c>
      <c r="G131" s="4">
        <v>6.4</v>
      </c>
      <c r="H131" s="5">
        <f t="shared" ref="H131:H194" si="2">G131/F131</f>
        <v>2.7586206896551726</v>
      </c>
      <c r="I131" s="6" t="str">
        <f>HYPERLINK("http://genome.ucsc.edu/cgi-bin/hgTracks?clade=vertebrate&amp;org=Zebrafish&amp;db=danRer7&amp;position=chr24:4835882-4845404","chr24:4835882-4845404")</f>
        <v>chr24:4835882-4845404</v>
      </c>
      <c r="J131" s="6" t="str">
        <f>HYPERLINK("http://www.ncbi.nlm.nih.gov/entrez/query.fcgi?db=gene&amp;cmd=Retrieve&amp;list_uids=322412","322412")</f>
        <v>322412</v>
      </c>
      <c r="K131" s="6" t="str">
        <f>HYPERLINK("http://www.ncbi.nlm.nih.gov/entrez/query.fcgi?cmd=Search&amp;db=Nucleotide&amp;term=NM_001110021","NM_001110021")</f>
        <v>NM_001110021</v>
      </c>
      <c r="L131" s="4" t="s">
        <v>69</v>
      </c>
      <c r="M131" s="4">
        <v>4835882</v>
      </c>
      <c r="N131" s="4">
        <v>4845404</v>
      </c>
      <c r="O131" s="4" t="s">
        <v>19</v>
      </c>
      <c r="P131" s="3" t="s">
        <v>411</v>
      </c>
      <c r="Q131" s="3" t="s">
        <v>412</v>
      </c>
      <c r="R131" s="4"/>
      <c r="S131" s="4"/>
      <c r="T131" s="3" t="s">
        <v>406</v>
      </c>
      <c r="U131" s="3" t="s">
        <v>407</v>
      </c>
      <c r="V131" s="4"/>
    </row>
    <row r="132" spans="1:22" customFormat="1" x14ac:dyDescent="0.15">
      <c r="A132" s="3" t="s">
        <v>492</v>
      </c>
      <c r="B132" s="3" t="s">
        <v>493</v>
      </c>
      <c r="C132" s="3" t="s">
        <v>491</v>
      </c>
      <c r="D132" s="4">
        <v>4.2880000000000003</v>
      </c>
      <c r="E132" s="4">
        <v>44.2</v>
      </c>
      <c r="F132" s="4">
        <v>41.73</v>
      </c>
      <c r="G132" s="4">
        <v>114.8</v>
      </c>
      <c r="H132" s="5">
        <f t="shared" si="2"/>
        <v>2.7510184519530316</v>
      </c>
      <c r="I132" s="6" t="str">
        <f>HYPERLINK("http://genome.ucsc.edu/cgi-bin/hgTracks?clade=vertebrate&amp;org=Zebrafish&amp;db=danRer7&amp;position=chr9:10924150-10985039","chr9:10924150-10985039")</f>
        <v>chr9:10924150-10985039</v>
      </c>
      <c r="J132" s="6" t="str">
        <f>HYPERLINK("http://www.ncbi.nlm.nih.gov/entrez/query.fcgi?db=gene&amp;cmd=Retrieve&amp;list_uids=324025","324025")</f>
        <v>324025</v>
      </c>
      <c r="K132" s="6" t="str">
        <f>HYPERLINK("http://www.ncbi.nlm.nih.gov/entrez/query.fcgi?cmd=Search&amp;db=Nucleotide&amp;term=NM_001077611","NM_001077611")</f>
        <v>NM_001077611</v>
      </c>
      <c r="L132" s="4" t="s">
        <v>22</v>
      </c>
      <c r="M132" s="4">
        <v>10924150</v>
      </c>
      <c r="N132" s="4">
        <v>10985039</v>
      </c>
      <c r="O132" s="4" t="s">
        <v>23</v>
      </c>
      <c r="P132" s="3" t="s">
        <v>494</v>
      </c>
      <c r="Q132" s="3" t="s">
        <v>495</v>
      </c>
      <c r="R132" s="3" t="s">
        <v>58</v>
      </c>
      <c r="S132" s="3" t="s">
        <v>59</v>
      </c>
      <c r="T132" s="3" t="s">
        <v>496</v>
      </c>
      <c r="U132" s="3" t="s">
        <v>497</v>
      </c>
      <c r="V132" s="4"/>
    </row>
    <row r="133" spans="1:22" customFormat="1" x14ac:dyDescent="0.15">
      <c r="A133" s="3" t="s">
        <v>481</v>
      </c>
      <c r="B133" s="3" t="s">
        <v>482</v>
      </c>
      <c r="C133" s="3" t="s">
        <v>480</v>
      </c>
      <c r="D133" s="4">
        <v>1.6060000000000001</v>
      </c>
      <c r="E133" s="4">
        <v>5251.15</v>
      </c>
      <c r="F133" s="4">
        <v>3212.36</v>
      </c>
      <c r="G133" s="4">
        <v>8818.81</v>
      </c>
      <c r="H133" s="5">
        <f t="shared" si="2"/>
        <v>2.7452745022351164</v>
      </c>
      <c r="I133" s="6" t="str">
        <f>HYPERLINK("http://genome.ucsc.edu/cgi-bin/hgTracks?clade=vertebrate&amp;org=Zebrafish&amp;db=danRer7&amp;position=chr19:5980624-5982633","chr19:5980624-5982633")</f>
        <v>chr19:5980624-5982633</v>
      </c>
      <c r="J133" s="6" t="str">
        <f>HYPERLINK("http://www.ncbi.nlm.nih.gov/entrez/query.fcgi?db=gene&amp;cmd=Retrieve&amp;list_uids=792062","792062")</f>
        <v>792062</v>
      </c>
      <c r="K133" s="6" t="str">
        <f>HYPERLINK("http://www.ncbi.nlm.nih.gov/entrez/query.fcgi?cmd=Search&amp;db=Nucleotide&amp;term=NM_001082882","NM_001082882")</f>
        <v>NM_001082882</v>
      </c>
      <c r="L133" s="4" t="s">
        <v>70</v>
      </c>
      <c r="M133" s="4">
        <v>5980624</v>
      </c>
      <c r="N133" s="4">
        <v>5982633</v>
      </c>
      <c r="O133" s="4" t="s">
        <v>19</v>
      </c>
      <c r="P133" s="4"/>
      <c r="Q133" s="4"/>
      <c r="R133" s="3" t="s">
        <v>392</v>
      </c>
      <c r="S133" s="3" t="s">
        <v>393</v>
      </c>
      <c r="T133" s="3" t="s">
        <v>394</v>
      </c>
      <c r="U133" s="3" t="s">
        <v>395</v>
      </c>
      <c r="V133" s="4"/>
    </row>
    <row r="134" spans="1:22" customFormat="1" x14ac:dyDescent="0.15">
      <c r="A134" s="3" t="s">
        <v>1138</v>
      </c>
      <c r="B134" s="3" t="s">
        <v>1139</v>
      </c>
      <c r="C134" s="3" t="s">
        <v>1137</v>
      </c>
      <c r="D134" s="4">
        <v>2.9390000000000001</v>
      </c>
      <c r="E134" s="4">
        <v>70.540000000000006</v>
      </c>
      <c r="F134" s="4">
        <v>41.92</v>
      </c>
      <c r="G134" s="4">
        <v>114.88</v>
      </c>
      <c r="H134" s="5">
        <f t="shared" si="2"/>
        <v>2.7404580152671754</v>
      </c>
      <c r="I134" s="6" t="str">
        <f>HYPERLINK("http://genome.ucsc.edu/cgi-bin/hgTracks?clade=vertebrate&amp;org=Zebrafish&amp;db=danRer7&amp;position=chr5:72352361-72365894","chr5:72352361-72365894")</f>
        <v>chr5:72352361-72365894</v>
      </c>
      <c r="J134" s="6" t="str">
        <f>HYPERLINK("http://www.ncbi.nlm.nih.gov/entrez/query.fcgi?db=gene&amp;cmd=Retrieve&amp;list_uids=327512","327512")</f>
        <v>327512</v>
      </c>
      <c r="K134" s="6" t="str">
        <f>HYPERLINK("http://www.ncbi.nlm.nih.gov/entrez/query.fcgi?cmd=Search&amp;db=Nucleotide&amp;term=NM_200895, NM_199819","NM_200895, NM_199819")</f>
        <v>NM_200895, NM_199819</v>
      </c>
      <c r="L134" s="4" t="s">
        <v>29</v>
      </c>
      <c r="M134" s="4">
        <v>72352361</v>
      </c>
      <c r="N134" s="4">
        <v>72365894</v>
      </c>
      <c r="O134" s="4" t="s">
        <v>19</v>
      </c>
      <c r="P134" s="3" t="s">
        <v>1140</v>
      </c>
      <c r="Q134" s="3" t="s">
        <v>1141</v>
      </c>
      <c r="R134" s="4"/>
      <c r="S134" s="4"/>
      <c r="T134" s="3" t="s">
        <v>1142</v>
      </c>
      <c r="U134" s="3" t="s">
        <v>1143</v>
      </c>
      <c r="V134" s="4"/>
    </row>
    <row r="135" spans="1:22" customFormat="1" x14ac:dyDescent="0.15">
      <c r="A135" s="3" t="s">
        <v>404</v>
      </c>
      <c r="B135" s="3" t="s">
        <v>405</v>
      </c>
      <c r="C135" s="3" t="s">
        <v>403</v>
      </c>
      <c r="D135" s="4">
        <v>0.85699999999999998</v>
      </c>
      <c r="E135" s="4">
        <v>1.89</v>
      </c>
      <c r="F135" s="4">
        <v>1.87</v>
      </c>
      <c r="G135" s="4">
        <v>5.1100000000000003</v>
      </c>
      <c r="H135" s="5">
        <f t="shared" si="2"/>
        <v>2.7326203208556148</v>
      </c>
      <c r="I135" s="6" t="str">
        <f>HYPERLINK("http://genome.ucsc.edu/cgi-bin/hgTracks?clade=vertebrate&amp;org=Zebrafish&amp;db=danRer7&amp;position=chr23:19233046-19239698","chr23:19233046-19239698")</f>
        <v>chr23:19233046-19239698</v>
      </c>
      <c r="J135" s="6" t="str">
        <f>HYPERLINK("http://www.ncbi.nlm.nih.gov/entrez/query.fcgi?db=gene&amp;cmd=Retrieve&amp;list_uids=393776","393776")</f>
        <v>393776</v>
      </c>
      <c r="K135" s="6" t="str">
        <f>HYPERLINK("http://www.ncbi.nlm.nih.gov/entrez/query.fcgi?cmd=Search&amp;db=Nucleotide&amp;term=NM_200803","NM_200803")</f>
        <v>NM_200803</v>
      </c>
      <c r="L135" s="4" t="s">
        <v>80</v>
      </c>
      <c r="M135" s="4">
        <v>19233046</v>
      </c>
      <c r="N135" s="4">
        <v>19239698</v>
      </c>
      <c r="O135" s="4" t="s">
        <v>23</v>
      </c>
      <c r="P135" s="4"/>
      <c r="Q135" s="4"/>
      <c r="R135" s="3" t="s">
        <v>67</v>
      </c>
      <c r="S135" s="3" t="s">
        <v>68</v>
      </c>
      <c r="T135" s="3" t="s">
        <v>401</v>
      </c>
      <c r="U135" s="3" t="s">
        <v>402</v>
      </c>
      <c r="V135" s="4"/>
    </row>
    <row r="136" spans="1:22" customFormat="1" x14ac:dyDescent="0.15">
      <c r="A136" s="3" t="s">
        <v>342</v>
      </c>
      <c r="B136" s="3" t="s">
        <v>343</v>
      </c>
      <c r="C136" s="3" t="s">
        <v>341</v>
      </c>
      <c r="D136" s="4">
        <v>3.5529999999999999</v>
      </c>
      <c r="E136" s="4">
        <v>31.17</v>
      </c>
      <c r="F136" s="4">
        <v>25.43</v>
      </c>
      <c r="G136" s="4">
        <v>69.17</v>
      </c>
      <c r="H136" s="5">
        <f t="shared" si="2"/>
        <v>2.7200157294534018</v>
      </c>
      <c r="I136" s="6" t="str">
        <f>HYPERLINK("http://genome.ucsc.edu/cgi-bin/hgTracks?clade=vertebrate&amp;org=Zebrafish&amp;db=danRer7&amp;position=chr9:9404591-9450353","chr9:9404591-9450353")</f>
        <v>chr9:9404591-9450353</v>
      </c>
      <c r="J136" s="6" t="str">
        <f>HYPERLINK("http://www.ncbi.nlm.nih.gov/entrez/query.fcgi?db=gene&amp;cmd=Retrieve&amp;list_uids=266987","266987")</f>
        <v>266987</v>
      </c>
      <c r="K136" s="6" t="str">
        <f>HYPERLINK("http://www.ncbi.nlm.nih.gov/entrez/query.fcgi?cmd=Search&amp;db=Nucleotide&amp;term=NM_001014345","NM_001014345")</f>
        <v>NM_001014345</v>
      </c>
      <c r="L136" s="4" t="s">
        <v>22</v>
      </c>
      <c r="M136" s="4">
        <v>9404591</v>
      </c>
      <c r="N136" s="4">
        <v>9450353</v>
      </c>
      <c r="O136" s="4" t="s">
        <v>19</v>
      </c>
      <c r="P136" s="3" t="s">
        <v>337</v>
      </c>
      <c r="Q136" s="3" t="s">
        <v>338</v>
      </c>
      <c r="R136" s="3" t="s">
        <v>58</v>
      </c>
      <c r="S136" s="3" t="s">
        <v>59</v>
      </c>
      <c r="T136" s="3" t="s">
        <v>339</v>
      </c>
      <c r="U136" s="3" t="s">
        <v>340</v>
      </c>
      <c r="V136" s="4"/>
    </row>
    <row r="137" spans="1:22" customFormat="1" x14ac:dyDescent="0.15">
      <c r="A137" s="3" t="s">
        <v>300</v>
      </c>
      <c r="B137" s="3" t="s">
        <v>301</v>
      </c>
      <c r="C137" s="3" t="s">
        <v>299</v>
      </c>
      <c r="D137" s="4">
        <v>3.5489999999999999</v>
      </c>
      <c r="E137" s="4">
        <v>9.75</v>
      </c>
      <c r="F137" s="4">
        <v>10.44</v>
      </c>
      <c r="G137" s="4">
        <v>28.34</v>
      </c>
      <c r="H137" s="5">
        <f t="shared" si="2"/>
        <v>2.7145593869731801</v>
      </c>
      <c r="I137" s="6" t="str">
        <f>HYPERLINK("http://genome.ucsc.edu/cgi-bin/hgTracks?clade=vertebrate&amp;org=Zebrafish&amp;db=danRer7&amp;position=chr2:9876232-9887088","chr2:9876232-9887088")</f>
        <v>chr2:9876232-9887088</v>
      </c>
      <c r="J137" s="6" t="str">
        <f>HYPERLINK("http://www.ncbi.nlm.nih.gov/entrez/query.fcgi?db=gene&amp;cmd=Retrieve&amp;list_uids=100001936","100001936")</f>
        <v>100001936</v>
      </c>
      <c r="K137" s="6" t="str">
        <f>HYPERLINK("http://www.ncbi.nlm.nih.gov/entrez/query.fcgi?cmd=Search&amp;db=Nucleotide&amp;term=NM_001100074","NM_001100074")</f>
        <v>NM_001100074</v>
      </c>
      <c r="L137" s="4" t="s">
        <v>79</v>
      </c>
      <c r="M137" s="4">
        <v>9876232</v>
      </c>
      <c r="N137" s="4">
        <v>9887088</v>
      </c>
      <c r="O137" s="4" t="s">
        <v>19</v>
      </c>
      <c r="P137" s="4"/>
      <c r="Q137" s="4"/>
      <c r="R137" s="3" t="s">
        <v>173</v>
      </c>
      <c r="S137" s="3" t="s">
        <v>174</v>
      </c>
      <c r="T137" s="3" t="s">
        <v>232</v>
      </c>
      <c r="U137" s="3" t="s">
        <v>233</v>
      </c>
      <c r="V137" s="4"/>
    </row>
    <row r="138" spans="1:22" customFormat="1" x14ac:dyDescent="0.15">
      <c r="A138" s="3" t="s">
        <v>1535</v>
      </c>
      <c r="B138" s="3" t="s">
        <v>1535</v>
      </c>
      <c r="C138" s="3" t="s">
        <v>1534</v>
      </c>
      <c r="D138" s="4">
        <v>2.1190000000000002</v>
      </c>
      <c r="E138" s="4">
        <v>42.48</v>
      </c>
      <c r="F138" s="4">
        <v>42.45</v>
      </c>
      <c r="G138" s="4">
        <v>114.73</v>
      </c>
      <c r="H138" s="5">
        <f t="shared" si="2"/>
        <v>2.7027090694935216</v>
      </c>
      <c r="I138" s="6" t="str">
        <f>HYPERLINK("http://genome.ucsc.edu/cgi-bin/hgTracks?clade=vertebrate&amp;org=Zebrafish&amp;db=danRer7&amp;position=chr15:6532402-6546523","chr15:6532402-6546523")</f>
        <v>chr15:6532402-6546523</v>
      </c>
      <c r="J138" s="6" t="str">
        <f>HYPERLINK("http://www.ncbi.nlm.nih.gov/entrez/query.fcgi?db=gene&amp;cmd=Retrieve&amp;list_uids=322404","322404")</f>
        <v>322404</v>
      </c>
      <c r="K138" s="6" t="str">
        <f>HYPERLINK("http://www.ncbi.nlm.nih.gov/entrez/query.fcgi?cmd=Search&amp;db=Nucleotide&amp;term=NM_001079946","NM_001079946")</f>
        <v>NM_001079946</v>
      </c>
      <c r="L138" s="4" t="s">
        <v>18</v>
      </c>
      <c r="M138" s="4">
        <v>6532402</v>
      </c>
      <c r="N138" s="4">
        <v>6546523</v>
      </c>
      <c r="O138" s="4" t="s">
        <v>19</v>
      </c>
      <c r="P138" s="3" t="s">
        <v>65</v>
      </c>
      <c r="Q138" s="3" t="s">
        <v>66</v>
      </c>
      <c r="R138" s="4"/>
      <c r="S138" s="4"/>
      <c r="T138" s="3" t="s">
        <v>24</v>
      </c>
      <c r="U138" s="3" t="s">
        <v>25</v>
      </c>
      <c r="V138" s="4"/>
    </row>
    <row r="139" spans="1:22" customFormat="1" x14ac:dyDescent="0.15">
      <c r="A139" s="3" t="s">
        <v>1330</v>
      </c>
      <c r="B139" s="3" t="s">
        <v>1331</v>
      </c>
      <c r="C139" s="3" t="s">
        <v>1329</v>
      </c>
      <c r="D139" s="4">
        <v>3.0289999999999999</v>
      </c>
      <c r="E139" s="4">
        <v>6.25</v>
      </c>
      <c r="F139" s="4">
        <v>6.24</v>
      </c>
      <c r="G139" s="4">
        <v>16.809999999999999</v>
      </c>
      <c r="H139" s="5">
        <f t="shared" si="2"/>
        <v>2.6939102564102559</v>
      </c>
      <c r="I139" s="6" t="str">
        <f>HYPERLINK("http://genome.ucsc.edu/cgi-bin/hgTracks?clade=vertebrate&amp;org=Zebrafish&amp;db=danRer7&amp;position=chr14:33741644-33750608","chr14:33741644-33750608")</f>
        <v>chr14:33741644-33750608</v>
      </c>
      <c r="J139" s="6" t="str">
        <f>HYPERLINK("http://www.ncbi.nlm.nih.gov/entrez/query.fcgi?db=gene&amp;cmd=Retrieve&amp;list_uids=796731","796731")</f>
        <v>796731</v>
      </c>
      <c r="K139" s="6" t="str">
        <f>HYPERLINK("http://www.ncbi.nlm.nih.gov/entrez/query.fcgi?cmd=Search&amp;db=Nucleotide&amp;term=NM_001004497","NM_001004497")</f>
        <v>NM_001004497</v>
      </c>
      <c r="L139" s="4" t="s">
        <v>64</v>
      </c>
      <c r="M139" s="4">
        <v>33741644</v>
      </c>
      <c r="N139" s="4">
        <v>33750608</v>
      </c>
      <c r="O139" s="4" t="s">
        <v>19</v>
      </c>
      <c r="P139" s="3" t="s">
        <v>72</v>
      </c>
      <c r="Q139" s="3" t="s">
        <v>73</v>
      </c>
      <c r="R139" s="3" t="s">
        <v>302</v>
      </c>
      <c r="S139" s="3" t="s">
        <v>303</v>
      </c>
      <c r="T139" s="3" t="s">
        <v>171</v>
      </c>
      <c r="U139" s="3" t="s">
        <v>172</v>
      </c>
      <c r="V139" s="4"/>
    </row>
    <row r="140" spans="1:22" customFormat="1" x14ac:dyDescent="0.15">
      <c r="A140" s="3" t="s">
        <v>699</v>
      </c>
      <c r="B140" s="3" t="s">
        <v>700</v>
      </c>
      <c r="C140" s="3" t="s">
        <v>698</v>
      </c>
      <c r="D140" s="4">
        <v>6.569</v>
      </c>
      <c r="E140" s="4">
        <v>43.25</v>
      </c>
      <c r="F140" s="4">
        <v>43</v>
      </c>
      <c r="G140" s="4">
        <v>115.67</v>
      </c>
      <c r="H140" s="5">
        <f t="shared" si="2"/>
        <v>2.69</v>
      </c>
      <c r="I140" s="6" t="str">
        <f>HYPERLINK("http://genome.ucsc.edu/cgi-bin/hgTracks?clade=vertebrate&amp;org=Zebrafish&amp;db=danRer7&amp;position=chr2:42462492-42476351","chr2:42462492-42476351")</f>
        <v>chr2:42462492-42476351</v>
      </c>
      <c r="J140" s="6" t="str">
        <f>HYPERLINK("http://www.ncbi.nlm.nih.gov/entrez/query.fcgi?db=gene&amp;cmd=Retrieve&amp;list_uids=334050","334050")</f>
        <v>334050</v>
      </c>
      <c r="K140" s="6" t="str">
        <f>HYPERLINK("http://www.ncbi.nlm.nih.gov/entrez/query.fcgi?cmd=Search&amp;db=Nucleotide&amp;term=NM_199851","NM_199851")</f>
        <v>NM_199851</v>
      </c>
      <c r="L140" s="4" t="s">
        <v>79</v>
      </c>
      <c r="M140" s="4">
        <v>42462492</v>
      </c>
      <c r="N140" s="4">
        <v>42476351</v>
      </c>
      <c r="O140" s="4" t="s">
        <v>19</v>
      </c>
      <c r="P140" s="3" t="s">
        <v>679</v>
      </c>
      <c r="Q140" s="3" t="s">
        <v>680</v>
      </c>
      <c r="R140" s="4"/>
      <c r="S140" s="4"/>
      <c r="T140" s="3" t="s">
        <v>44</v>
      </c>
      <c r="U140" s="3" t="s">
        <v>45</v>
      </c>
      <c r="V140" s="4"/>
    </row>
    <row r="141" spans="1:22" customFormat="1" x14ac:dyDescent="0.15">
      <c r="A141" s="3" t="s">
        <v>486</v>
      </c>
      <c r="B141" s="3" t="s">
        <v>487</v>
      </c>
      <c r="C141" s="3" t="s">
        <v>485</v>
      </c>
      <c r="D141" s="4">
        <v>2.024</v>
      </c>
      <c r="E141" s="4">
        <v>7.61</v>
      </c>
      <c r="F141" s="4">
        <v>3.98</v>
      </c>
      <c r="G141" s="4">
        <v>10.64</v>
      </c>
      <c r="H141" s="5">
        <f t="shared" si="2"/>
        <v>2.6733668341708543</v>
      </c>
      <c r="I141" s="6" t="str">
        <f>HYPERLINK("http://genome.ucsc.edu/cgi-bin/hgTracks?clade=vertebrate&amp;org=Zebrafish&amp;db=danRer7&amp;position=chr5:21954037-21968993","chr5:21954037-21968993")</f>
        <v>chr5:21954037-21968993</v>
      </c>
      <c r="J141" s="6" t="str">
        <f>HYPERLINK("http://www.ncbi.nlm.nih.gov/entrez/query.fcgi?db=gene&amp;cmd=Retrieve&amp;list_uids=405800","405800")</f>
        <v>405800</v>
      </c>
      <c r="K141" s="6" t="str">
        <f>HYPERLINK("http://www.ncbi.nlm.nih.gov/entrez/query.fcgi?cmd=Search&amp;db=Nucleotide&amp;term=NM_214732","NM_214732")</f>
        <v>NM_214732</v>
      </c>
      <c r="L141" s="4" t="s">
        <v>29</v>
      </c>
      <c r="M141" s="4">
        <v>21954037</v>
      </c>
      <c r="N141" s="4">
        <v>21968993</v>
      </c>
      <c r="O141" s="4" t="s">
        <v>19</v>
      </c>
      <c r="P141" s="3" t="s">
        <v>141</v>
      </c>
      <c r="Q141" s="3" t="s">
        <v>142</v>
      </c>
      <c r="R141" s="4"/>
      <c r="S141" s="4"/>
      <c r="T141" s="3" t="s">
        <v>483</v>
      </c>
      <c r="U141" s="3" t="s">
        <v>484</v>
      </c>
      <c r="V141" s="4"/>
    </row>
    <row r="142" spans="1:22" customFormat="1" x14ac:dyDescent="0.15">
      <c r="A142" s="3" t="s">
        <v>489</v>
      </c>
      <c r="B142" s="3" t="s">
        <v>490</v>
      </c>
      <c r="C142" s="3" t="s">
        <v>488</v>
      </c>
      <c r="D142" s="4">
        <v>0.93799999999999994</v>
      </c>
      <c r="E142" s="4">
        <v>60.67</v>
      </c>
      <c r="F142" s="4">
        <v>50.13</v>
      </c>
      <c r="G142" s="4">
        <v>133.41</v>
      </c>
      <c r="H142" s="5">
        <f t="shared" si="2"/>
        <v>2.6612806702573306</v>
      </c>
      <c r="I142" s="6" t="str">
        <f>HYPERLINK("http://genome.ucsc.edu/cgi-bin/hgTracks?clade=vertebrate&amp;org=Zebrafish&amp;db=danRer7&amp;position=chr9:53975569-53979442","chr9:53975569-53979442")</f>
        <v>chr9:53975569-53979442</v>
      </c>
      <c r="J142" s="6" t="str">
        <f>HYPERLINK("http://www.ncbi.nlm.nih.gov/entrez/query.fcgi?db=gene&amp;cmd=Retrieve&amp;list_uids=58094","58094")</f>
        <v>58094</v>
      </c>
      <c r="K142" s="6" t="str">
        <f>HYPERLINK("http://www.ncbi.nlm.nih.gov/entrez/query.fcgi?cmd=Search&amp;db=Nucleotide&amp;term=NM_131573","NM_131573")</f>
        <v>NM_131573</v>
      </c>
      <c r="L142" s="4" t="s">
        <v>22</v>
      </c>
      <c r="M142" s="4">
        <v>53975569</v>
      </c>
      <c r="N142" s="4">
        <v>53979442</v>
      </c>
      <c r="O142" s="4" t="s">
        <v>23</v>
      </c>
      <c r="P142" s="4"/>
      <c r="Q142" s="4"/>
      <c r="R142" s="4"/>
      <c r="S142" s="4"/>
      <c r="T142" s="4"/>
      <c r="U142" s="4"/>
      <c r="V142" s="4"/>
    </row>
    <row r="143" spans="1:22" customFormat="1" x14ac:dyDescent="0.15">
      <c r="A143" s="3" t="s">
        <v>1028</v>
      </c>
      <c r="B143" s="3" t="s">
        <v>1029</v>
      </c>
      <c r="C143" s="3" t="s">
        <v>1027</v>
      </c>
      <c r="D143" s="4">
        <v>3.044</v>
      </c>
      <c r="E143" s="4">
        <v>11.42</v>
      </c>
      <c r="F143" s="4">
        <v>10.65</v>
      </c>
      <c r="G143" s="4">
        <v>28.06</v>
      </c>
      <c r="H143" s="5">
        <f t="shared" si="2"/>
        <v>2.6347417840375584</v>
      </c>
      <c r="I143" s="6" t="str">
        <f>HYPERLINK("http://genome.ucsc.edu/cgi-bin/hgTracks?clade=vertebrate&amp;org=Zebrafish&amp;db=danRer7&amp;position=chr20:16922394-16925201","chr20:16922394-16925201")</f>
        <v>chr20:16922394-16925201</v>
      </c>
      <c r="J143" s="6" t="str">
        <f>HYPERLINK("http://www.ncbi.nlm.nih.gov/entrez/query.fcgi?db=gene&amp;cmd=Retrieve&amp;list_uids=406463","406463")</f>
        <v>406463</v>
      </c>
      <c r="K143" s="6" t="str">
        <f>HYPERLINK("http://www.ncbi.nlm.nih.gov/entrez/query.fcgi?cmd=Search&amp;db=Nucleotide&amp;term=NM_213184","NM_213184")</f>
        <v>NM_213184</v>
      </c>
      <c r="L143" s="4" t="s">
        <v>96</v>
      </c>
      <c r="M143" s="4">
        <v>16922394</v>
      </c>
      <c r="N143" s="4">
        <v>16925201</v>
      </c>
      <c r="O143" s="4" t="s">
        <v>23</v>
      </c>
      <c r="P143" s="3" t="s">
        <v>1007</v>
      </c>
      <c r="Q143" s="3" t="s">
        <v>1008</v>
      </c>
      <c r="R143" s="4"/>
      <c r="S143" s="4"/>
      <c r="T143" s="4"/>
      <c r="U143" s="4"/>
      <c r="V143" s="4"/>
    </row>
    <row r="144" spans="1:22" customFormat="1" x14ac:dyDescent="0.15">
      <c r="A144" s="3" t="s">
        <v>897</v>
      </c>
      <c r="B144" s="3" t="s">
        <v>898</v>
      </c>
      <c r="C144" s="3" t="s">
        <v>896</v>
      </c>
      <c r="D144" s="4">
        <v>5.15</v>
      </c>
      <c r="E144" s="4">
        <v>4.5999999999999996</v>
      </c>
      <c r="F144" s="4">
        <v>4.18</v>
      </c>
      <c r="G144" s="4">
        <v>10.96</v>
      </c>
      <c r="H144" s="5">
        <f t="shared" si="2"/>
        <v>2.6220095693779908</v>
      </c>
      <c r="I144" s="6" t="str">
        <f>HYPERLINK("http://genome.ucsc.edu/cgi-bin/hgTracks?clade=vertebrate&amp;org=Zebrafish&amp;db=danRer7&amp;position=chr12:14758791-14827956","chr12:14758791-14827956")</f>
        <v>chr12:14758791-14827956</v>
      </c>
      <c r="J144" s="6" t="str">
        <f>HYPERLINK("http://www.ncbi.nlm.nih.gov/entrez/query.fcgi?db=gene&amp;cmd=Retrieve&amp;list_uids=100151110","100151110")</f>
        <v>100151110</v>
      </c>
      <c r="K144" s="6" t="str">
        <f>HYPERLINK("http://www.ncbi.nlm.nih.gov/entrez/query.fcgi?cmd=Search&amp;db=Nucleotide&amp;term=NM_001200059","NM_001200059")</f>
        <v>NM_001200059</v>
      </c>
      <c r="L144" s="4" t="s">
        <v>57</v>
      </c>
      <c r="M144" s="4">
        <v>14758791</v>
      </c>
      <c r="N144" s="4">
        <v>14827956</v>
      </c>
      <c r="O144" s="4" t="s">
        <v>23</v>
      </c>
      <c r="P144" s="4"/>
      <c r="Q144" s="4"/>
      <c r="R144" s="4"/>
      <c r="S144" s="4"/>
      <c r="T144" s="4"/>
      <c r="U144" s="4"/>
      <c r="V144" s="4"/>
    </row>
    <row r="145" spans="1:22" customFormat="1" x14ac:dyDescent="0.15">
      <c r="A145" s="3" t="s">
        <v>1256</v>
      </c>
      <c r="B145" s="3" t="s">
        <v>1256</v>
      </c>
      <c r="C145" s="3" t="s">
        <v>1255</v>
      </c>
      <c r="D145" s="4">
        <v>0.92100000000000004</v>
      </c>
      <c r="E145" s="4">
        <v>7.43</v>
      </c>
      <c r="F145" s="4">
        <v>8.9700000000000006</v>
      </c>
      <c r="G145" s="4">
        <v>23.4</v>
      </c>
      <c r="H145" s="5">
        <f t="shared" si="2"/>
        <v>2.6086956521739126</v>
      </c>
      <c r="I145" s="6" t="str">
        <f>HYPERLINK("http://genome.ucsc.edu/cgi-bin/hgTracks?clade=vertebrate&amp;org=Zebrafish&amp;db=danRer7&amp;position=chr10:13199964-13203162","chr10:13199964-13203162")</f>
        <v>chr10:13199964-13203162</v>
      </c>
      <c r="J145" s="6" t="str">
        <f>HYPERLINK("http://www.ncbi.nlm.nih.gov/entrez/query.fcgi?db=gene&amp;cmd=Retrieve&amp;list_uids=368621","368621")</f>
        <v>368621</v>
      </c>
      <c r="K145" s="6" t="str">
        <f>HYPERLINK("http://www.ncbi.nlm.nih.gov/entrez/query.fcgi?cmd=Search&amp;db=Nucleotide&amp;term=NM_001004512","NM_001004512")</f>
        <v>NM_001004512</v>
      </c>
      <c r="L145" s="4" t="s">
        <v>92</v>
      </c>
      <c r="M145" s="4">
        <v>13199964</v>
      </c>
      <c r="N145" s="4">
        <v>13203162</v>
      </c>
      <c r="O145" s="4" t="s">
        <v>19</v>
      </c>
      <c r="P145" s="4"/>
      <c r="Q145" s="4"/>
      <c r="R145" s="4"/>
      <c r="S145" s="4"/>
      <c r="T145" s="3" t="s">
        <v>167</v>
      </c>
      <c r="U145" s="3" t="s">
        <v>168</v>
      </c>
      <c r="V145" s="4"/>
    </row>
    <row r="146" spans="1:22" customFormat="1" x14ac:dyDescent="0.15">
      <c r="A146" s="3" t="s">
        <v>269</v>
      </c>
      <c r="B146" s="3" t="s">
        <v>270</v>
      </c>
      <c r="C146" s="3" t="s">
        <v>268</v>
      </c>
      <c r="D146" s="4">
        <v>5.5979999999999999</v>
      </c>
      <c r="E146" s="4">
        <v>74.790000000000006</v>
      </c>
      <c r="F146" s="4">
        <v>64.489999999999995</v>
      </c>
      <c r="G146" s="4">
        <v>168.2</v>
      </c>
      <c r="H146" s="5">
        <f t="shared" si="2"/>
        <v>2.6081563033028377</v>
      </c>
      <c r="I146" s="6" t="str">
        <f>HYPERLINK("http://genome.ucsc.edu/cgi-bin/hgTracks?clade=vertebrate&amp;org=Zebrafish&amp;db=danRer7&amp;position=chr3:24489181-24492060","chr3:24489181-24492060")</f>
        <v>chr3:24489181-24492060</v>
      </c>
      <c r="J146" s="6" t="str">
        <f>HYPERLINK("http://www.ncbi.nlm.nih.gov/entrez/query.fcgi?db=gene&amp;cmd=Retrieve&amp;list_uids=556410","556410")</f>
        <v>556410</v>
      </c>
      <c r="K146" s="6" t="str">
        <f>HYPERLINK("http://www.ncbi.nlm.nih.gov/entrez/query.fcgi?cmd=Search&amp;db=Nucleotide&amp;term=NM_001103192","NM_001103192")</f>
        <v>NM_001103192</v>
      </c>
      <c r="L146" s="4" t="s">
        <v>47</v>
      </c>
      <c r="M146" s="4">
        <v>24489181</v>
      </c>
      <c r="N146" s="4">
        <v>24492060</v>
      </c>
      <c r="O146" s="4" t="s">
        <v>23</v>
      </c>
      <c r="P146" s="3" t="s">
        <v>151</v>
      </c>
      <c r="Q146" s="3" t="s">
        <v>152</v>
      </c>
      <c r="R146" s="3" t="s">
        <v>61</v>
      </c>
      <c r="S146" s="3" t="s">
        <v>62</v>
      </c>
      <c r="T146" s="3" t="s">
        <v>259</v>
      </c>
      <c r="U146" s="3" t="s">
        <v>260</v>
      </c>
      <c r="V146" s="4"/>
    </row>
    <row r="147" spans="1:22" customFormat="1" x14ac:dyDescent="0.15">
      <c r="A147" s="3" t="s">
        <v>1616</v>
      </c>
      <c r="B147" s="3" t="s">
        <v>1617</v>
      </c>
      <c r="C147" s="3" t="s">
        <v>1615</v>
      </c>
      <c r="D147" s="4">
        <v>2.4980000000000002</v>
      </c>
      <c r="E147" s="4">
        <v>12.08</v>
      </c>
      <c r="F147" s="4">
        <v>5.93</v>
      </c>
      <c r="G147" s="4">
        <v>15.4</v>
      </c>
      <c r="H147" s="5">
        <f t="shared" si="2"/>
        <v>2.5969645868465432</v>
      </c>
      <c r="I147" s="6" t="str">
        <f>HYPERLINK("http://genome.ucsc.edu/cgi-bin/hgTracks?clade=vertebrate&amp;org=Zebrafish&amp;db=danRer7&amp;position=chr1:28803289-28806087","chr1:28803289-28806087")</f>
        <v>chr1:28803289-28806087</v>
      </c>
      <c r="J147" s="6" t="str">
        <f>HYPERLINK("http://www.ncbi.nlm.nih.gov/entrez/query.fcgi?db=gene&amp;cmd=Retrieve&amp;list_uids=570746","570746")</f>
        <v>570746</v>
      </c>
      <c r="K147" s="6" t="str">
        <f>HYPERLINK("http://www.ncbi.nlm.nih.gov/entrez/query.fcgi?cmd=Search&amp;db=Nucleotide&amp;term=NM_001001820","NM_001001820")</f>
        <v>NM_001001820</v>
      </c>
      <c r="L147" s="4" t="s">
        <v>63</v>
      </c>
      <c r="M147" s="4">
        <v>28803289</v>
      </c>
      <c r="N147" s="4">
        <v>28806087</v>
      </c>
      <c r="O147" s="4" t="s">
        <v>23</v>
      </c>
      <c r="P147" s="4"/>
      <c r="Q147" s="4"/>
      <c r="R147" s="3" t="s">
        <v>137</v>
      </c>
      <c r="S147" s="3" t="s">
        <v>138</v>
      </c>
      <c r="T147" s="3" t="s">
        <v>295</v>
      </c>
      <c r="U147" s="3" t="s">
        <v>296</v>
      </c>
      <c r="V147" s="4"/>
    </row>
    <row r="148" spans="1:22" customFormat="1" x14ac:dyDescent="0.15">
      <c r="A148" s="3" t="s">
        <v>677</v>
      </c>
      <c r="B148" s="3" t="s">
        <v>678</v>
      </c>
      <c r="C148" s="3" t="s">
        <v>676</v>
      </c>
      <c r="D148" s="4">
        <v>6.3860000000000001</v>
      </c>
      <c r="E148" s="4">
        <v>3.32</v>
      </c>
      <c r="F148" s="4">
        <v>3.76</v>
      </c>
      <c r="G148" s="4">
        <v>9.76</v>
      </c>
      <c r="H148" s="5">
        <f t="shared" si="2"/>
        <v>2.5957446808510638</v>
      </c>
      <c r="I148" s="6" t="str">
        <f>HYPERLINK("http://genome.ucsc.edu/cgi-bin/hgTracks?clade=vertebrate&amp;org=Zebrafish&amp;db=danRer7&amp;position=chr16:29843276-29850421","chr16:29843276-29850421")</f>
        <v>chr16:29843276-29850421</v>
      </c>
      <c r="J148" s="6" t="str">
        <f>HYPERLINK("http://www.ncbi.nlm.nih.gov/entrez/query.fcgi?db=gene&amp;cmd=Retrieve&amp;list_uids=449805","449805")</f>
        <v>449805</v>
      </c>
      <c r="K148" s="6" t="str">
        <f>HYPERLINK("http://www.ncbi.nlm.nih.gov/entrez/query.fcgi?cmd=Search&amp;db=Nucleotide&amp;term=NM_001005978","NM_001005978")</f>
        <v>NM_001005978</v>
      </c>
      <c r="L148" s="4" t="s">
        <v>71</v>
      </c>
      <c r="M148" s="4">
        <v>29843276</v>
      </c>
      <c r="N148" s="4">
        <v>29850421</v>
      </c>
      <c r="O148" s="4" t="s">
        <v>23</v>
      </c>
      <c r="P148" s="3" t="s">
        <v>65</v>
      </c>
      <c r="Q148" s="3" t="s">
        <v>66</v>
      </c>
      <c r="R148" s="3" t="s">
        <v>115</v>
      </c>
      <c r="S148" s="3" t="s">
        <v>116</v>
      </c>
      <c r="T148" s="3" t="s">
        <v>24</v>
      </c>
      <c r="U148" s="3" t="s">
        <v>25</v>
      </c>
      <c r="V148" s="4"/>
    </row>
    <row r="149" spans="1:22" customFormat="1" x14ac:dyDescent="0.15">
      <c r="A149" s="3" t="s">
        <v>1003</v>
      </c>
      <c r="B149" s="3" t="s">
        <v>1004</v>
      </c>
      <c r="C149" s="3" t="s">
        <v>1002</v>
      </c>
      <c r="D149" s="4">
        <v>3.3340000000000001</v>
      </c>
      <c r="E149" s="4">
        <v>42.47</v>
      </c>
      <c r="F149" s="4">
        <v>61.63</v>
      </c>
      <c r="G149" s="4">
        <v>159.82</v>
      </c>
      <c r="H149" s="5">
        <f t="shared" si="2"/>
        <v>2.5932175888366054</v>
      </c>
      <c r="I149" s="6" t="str">
        <f>HYPERLINK("http://genome.ucsc.edu/cgi-bin/hgTracks?clade=vertebrate&amp;org=Zebrafish&amp;db=danRer7&amp;position=chr3:15313016-15338952","chr3:15313016-15338952")</f>
        <v>chr3:15313016-15338952</v>
      </c>
      <c r="J149" s="6" t="str">
        <f>HYPERLINK("http://www.ncbi.nlm.nih.gov/entrez/query.fcgi?db=gene&amp;cmd=Retrieve&amp;list_uids=373081","373081")</f>
        <v>373081</v>
      </c>
      <c r="K149" s="6" t="str">
        <f>HYPERLINK("http://www.ncbi.nlm.nih.gov/entrez/query.fcgi?cmd=Search&amp;db=Nucleotide&amp;term=NM_201325","NM_201325")</f>
        <v>NM_201325</v>
      </c>
      <c r="L149" s="4" t="s">
        <v>47</v>
      </c>
      <c r="M149" s="4">
        <v>15313016</v>
      </c>
      <c r="N149" s="4">
        <v>15338952</v>
      </c>
      <c r="O149" s="4" t="s">
        <v>19</v>
      </c>
      <c r="P149" s="4"/>
      <c r="Q149" s="4"/>
      <c r="R149" s="3" t="s">
        <v>1005</v>
      </c>
      <c r="S149" s="3" t="s">
        <v>1006</v>
      </c>
      <c r="T149" s="4"/>
      <c r="U149" s="4"/>
      <c r="V149" s="4"/>
    </row>
    <row r="150" spans="1:22" customFormat="1" x14ac:dyDescent="0.15">
      <c r="A150" s="7" t="s">
        <v>855</v>
      </c>
      <c r="B150" s="3" t="s">
        <v>856</v>
      </c>
      <c r="C150" s="3" t="s">
        <v>854</v>
      </c>
      <c r="D150" s="4">
        <v>2.0310000000000001</v>
      </c>
      <c r="E150" s="4">
        <v>15.96</v>
      </c>
      <c r="F150" s="4">
        <v>32.39</v>
      </c>
      <c r="G150" s="4">
        <v>83.98</v>
      </c>
      <c r="H150" s="5">
        <f t="shared" si="2"/>
        <v>2.5927755480086447</v>
      </c>
      <c r="I150" s="6" t="str">
        <f>HYPERLINK("http://genome.ucsc.edu/cgi-bin/hgTracks?clade=vertebrate&amp;org=Zebrafish&amp;db=danRer7&amp;position=chr3:8434976-8436626","chr3:8434976-8436626")</f>
        <v>chr3:8434976-8436626</v>
      </c>
      <c r="J150" s="6" t="str">
        <f>HYPERLINK("http://www.ncbi.nlm.nih.gov/entrez/query.fcgi?db=gene&amp;cmd=Retrieve&amp;list_uids=336038","336038")</f>
        <v>336038</v>
      </c>
      <c r="K150" s="6" t="str">
        <f>HYPERLINK("http://www.ncbi.nlm.nih.gov/entrez/query.fcgi?cmd=Search&amp;db=Nucleotide&amp;term=NM_212750","NM_212750")</f>
        <v>NM_212750</v>
      </c>
      <c r="L150" s="4" t="s">
        <v>47</v>
      </c>
      <c r="M150" s="4">
        <v>8434976</v>
      </c>
      <c r="N150" s="4">
        <v>8436626</v>
      </c>
      <c r="O150" s="4" t="s">
        <v>23</v>
      </c>
      <c r="P150" s="3" t="s">
        <v>151</v>
      </c>
      <c r="Q150" s="3" t="s">
        <v>152</v>
      </c>
      <c r="R150" s="3" t="s">
        <v>61</v>
      </c>
      <c r="S150" s="3" t="s">
        <v>62</v>
      </c>
      <c r="T150" s="3" t="s">
        <v>259</v>
      </c>
      <c r="U150" s="3" t="s">
        <v>260</v>
      </c>
      <c r="V150" s="4"/>
    </row>
    <row r="151" spans="1:22" customFormat="1" x14ac:dyDescent="0.15">
      <c r="A151" s="3" t="s">
        <v>378</v>
      </c>
      <c r="B151" s="3" t="s">
        <v>379</v>
      </c>
      <c r="C151" s="3" t="s">
        <v>377</v>
      </c>
      <c r="D151" s="4">
        <v>2.66</v>
      </c>
      <c r="E151" s="4">
        <v>88.56</v>
      </c>
      <c r="F151" s="4">
        <v>76.02</v>
      </c>
      <c r="G151" s="4">
        <v>196.86</v>
      </c>
      <c r="H151" s="5">
        <f t="shared" si="2"/>
        <v>2.5895816890292029</v>
      </c>
      <c r="I151" s="6" t="str">
        <f>HYPERLINK("http://genome.ucsc.edu/cgi-bin/hgTracks?clade=vertebrate&amp;org=Zebrafish&amp;db=danRer7&amp;position=chr20:28296542-28299071","chr20:28296542-28299071")</f>
        <v>chr20:28296542-28299071</v>
      </c>
      <c r="J151" s="6" t="str">
        <f>HYPERLINK("http://www.ncbi.nlm.nih.gov/entrez/query.fcgi?db=gene&amp;cmd=Retrieve&amp;list_uids=563855","563855")</f>
        <v>563855</v>
      </c>
      <c r="K151" s="6" t="str">
        <f>HYPERLINK("http://www.ncbi.nlm.nih.gov/entrez/query.fcgi?cmd=Search&amp;db=Nucleotide&amp;term=NM_001110126","NM_001110126")</f>
        <v>NM_001110126</v>
      </c>
      <c r="L151" s="4" t="s">
        <v>96</v>
      </c>
      <c r="M151" s="4">
        <v>28296542</v>
      </c>
      <c r="N151" s="4">
        <v>28299071</v>
      </c>
      <c r="O151" s="4" t="s">
        <v>23</v>
      </c>
      <c r="P151" s="3" t="s">
        <v>380</v>
      </c>
      <c r="Q151" s="3" t="s">
        <v>381</v>
      </c>
      <c r="R151" s="3" t="s">
        <v>32</v>
      </c>
      <c r="S151" s="3" t="s">
        <v>33</v>
      </c>
      <c r="T151" s="4"/>
      <c r="U151" s="4"/>
      <c r="V151" s="4"/>
    </row>
    <row r="152" spans="1:22" customFormat="1" x14ac:dyDescent="0.15">
      <c r="A152" s="3" t="s">
        <v>637</v>
      </c>
      <c r="B152" s="3" t="s">
        <v>638</v>
      </c>
      <c r="C152" s="3" t="s">
        <v>636</v>
      </c>
      <c r="D152" s="4">
        <v>3.8210000000000002</v>
      </c>
      <c r="E152" s="4">
        <v>10.71</v>
      </c>
      <c r="F152" s="4">
        <v>13.14</v>
      </c>
      <c r="G152" s="4">
        <v>33.86</v>
      </c>
      <c r="H152" s="5">
        <f t="shared" si="2"/>
        <v>2.576864535768645</v>
      </c>
      <c r="I152" s="6" t="str">
        <f>HYPERLINK("http://genome.ucsc.edu/cgi-bin/hgTracks?clade=vertebrate&amp;org=Zebrafish&amp;db=danRer7&amp;position=chr5:42130040-42135529","chr5:42130040-42135529")</f>
        <v>chr5:42130040-42135529</v>
      </c>
      <c r="J152" s="6" t="str">
        <f>HYPERLINK("http://www.ncbi.nlm.nih.gov/entrez/query.fcgi?db=gene&amp;cmd=Retrieve&amp;list_uids=100004116","100004116")</f>
        <v>100004116</v>
      </c>
      <c r="K152" s="6" t="str">
        <f>HYPERLINK("http://www.ncbi.nlm.nih.gov/entrez/query.fcgi?cmd=Search&amp;db=Nucleotide&amp;term=NM_131037","NM_131037")</f>
        <v>NM_131037</v>
      </c>
      <c r="L152" s="4" t="s">
        <v>29</v>
      </c>
      <c r="M152" s="4">
        <v>42130040</v>
      </c>
      <c r="N152" s="4">
        <v>42135529</v>
      </c>
      <c r="O152" s="4" t="s">
        <v>19</v>
      </c>
      <c r="P152" s="3" t="s">
        <v>639</v>
      </c>
      <c r="Q152" s="3" t="s">
        <v>640</v>
      </c>
      <c r="R152" s="3" t="s">
        <v>115</v>
      </c>
      <c r="S152" s="3" t="s">
        <v>116</v>
      </c>
      <c r="T152" s="3" t="s">
        <v>171</v>
      </c>
      <c r="U152" s="3" t="s">
        <v>172</v>
      </c>
      <c r="V152" s="4"/>
    </row>
    <row r="153" spans="1:22" customFormat="1" x14ac:dyDescent="0.15">
      <c r="A153" s="3" t="s">
        <v>1511</v>
      </c>
      <c r="B153" s="3" t="s">
        <v>1511</v>
      </c>
      <c r="C153" s="3" t="s">
        <v>1510</v>
      </c>
      <c r="D153" s="4">
        <v>3.1869999999999998</v>
      </c>
      <c r="E153" s="4">
        <v>7.07</v>
      </c>
      <c r="F153" s="4">
        <v>3.19</v>
      </c>
      <c r="G153" s="4">
        <v>8.18</v>
      </c>
      <c r="H153" s="5">
        <f t="shared" si="2"/>
        <v>2.5642633228840124</v>
      </c>
      <c r="I153" s="6" t="str">
        <f>HYPERLINK("http://genome.ucsc.edu/cgi-bin/hgTracks?clade=vertebrate&amp;org=Zebrafish&amp;db=danRer7&amp;position=chr16:7609537-7638406","chr16:7609537-7638406")</f>
        <v>chr16:7609537-7638406</v>
      </c>
      <c r="J153" s="6" t="str">
        <f>HYPERLINK("http://www.ncbi.nlm.nih.gov/entrez/query.fcgi?db=gene&amp;cmd=Retrieve&amp;list_uids=572841","572841")</f>
        <v>572841</v>
      </c>
      <c r="K153" s="6" t="str">
        <f>HYPERLINK("http://www.ncbi.nlm.nih.gov/entrez/query.fcgi?cmd=Search&amp;db=Nucleotide&amp;term=NM_001007396","NM_001007396")</f>
        <v>NM_001007396</v>
      </c>
      <c r="L153" s="4" t="s">
        <v>71</v>
      </c>
      <c r="M153" s="4">
        <v>7609537</v>
      </c>
      <c r="N153" s="4">
        <v>7638406</v>
      </c>
      <c r="O153" s="4" t="s">
        <v>19</v>
      </c>
      <c r="P153" s="3" t="s">
        <v>65</v>
      </c>
      <c r="Q153" s="3" t="s">
        <v>66</v>
      </c>
      <c r="R153" s="3" t="s">
        <v>75</v>
      </c>
      <c r="S153" s="3" t="s">
        <v>76</v>
      </c>
      <c r="T153" s="3" t="s">
        <v>24</v>
      </c>
      <c r="U153" s="3" t="s">
        <v>25</v>
      </c>
      <c r="V153" s="4"/>
    </row>
    <row r="154" spans="1:22" customFormat="1" x14ac:dyDescent="0.15">
      <c r="A154" s="3" t="s">
        <v>1454</v>
      </c>
      <c r="B154" s="3" t="s">
        <v>1455</v>
      </c>
      <c r="C154" s="3" t="s">
        <v>1453</v>
      </c>
      <c r="D154" s="4">
        <v>4.2240000000000002</v>
      </c>
      <c r="E154" s="4">
        <v>2.69</v>
      </c>
      <c r="F154" s="4">
        <v>2.17</v>
      </c>
      <c r="G154" s="4">
        <v>5.55</v>
      </c>
      <c r="H154" s="5">
        <f t="shared" si="2"/>
        <v>2.5576036866359448</v>
      </c>
      <c r="I154" s="6" t="str">
        <f>HYPERLINK("http://genome.ucsc.edu/cgi-bin/hgTracks?clade=vertebrate&amp;org=Zebrafish&amp;db=danRer7&amp;position=chr6:38885926-38935997","chr6:38885926-38935997")</f>
        <v>chr6:38885926-38935997</v>
      </c>
      <c r="J154" s="6" t="str">
        <f>HYPERLINK("http://www.ncbi.nlm.nih.gov/entrez/query.fcgi?db=gene&amp;cmd=Retrieve&amp;list_uids=564511","564511")</f>
        <v>564511</v>
      </c>
      <c r="K154" s="6" t="str">
        <f>HYPERLINK("http://www.ncbi.nlm.nih.gov/entrez/query.fcgi?cmd=Search&amp;db=Nucleotide&amp;term=NM_001159985","NM_001159985")</f>
        <v>NM_001159985</v>
      </c>
      <c r="L154" s="4" t="s">
        <v>46</v>
      </c>
      <c r="M154" s="4">
        <v>38885926</v>
      </c>
      <c r="N154" s="4">
        <v>38935997</v>
      </c>
      <c r="O154" s="4" t="s">
        <v>19</v>
      </c>
      <c r="P154" s="3" t="s">
        <v>547</v>
      </c>
      <c r="Q154" s="3" t="s">
        <v>548</v>
      </c>
      <c r="R154" s="3" t="s">
        <v>61</v>
      </c>
      <c r="S154" s="3" t="s">
        <v>62</v>
      </c>
      <c r="T154" s="3" t="s">
        <v>747</v>
      </c>
      <c r="U154" s="3" t="s">
        <v>748</v>
      </c>
      <c r="V154" s="4"/>
    </row>
    <row r="155" spans="1:22" customFormat="1" x14ac:dyDescent="0.15">
      <c r="A155" s="3" t="s">
        <v>361</v>
      </c>
      <c r="B155" s="3" t="s">
        <v>362</v>
      </c>
      <c r="C155" s="3" t="s">
        <v>360</v>
      </c>
      <c r="D155" s="4">
        <v>1.212</v>
      </c>
      <c r="E155" s="4">
        <v>32.799999999999997</v>
      </c>
      <c r="F155" s="4">
        <v>42.43</v>
      </c>
      <c r="G155" s="4">
        <v>108.5</v>
      </c>
      <c r="H155" s="5">
        <f t="shared" si="2"/>
        <v>2.5571529578128684</v>
      </c>
      <c r="I155" s="6" t="str">
        <f>HYPERLINK("http://genome.ucsc.edu/cgi-bin/hgTracks?clade=vertebrate&amp;org=Zebrafish&amp;db=danRer7&amp;position=chr24:37059303-37060514","chr24:37059303-37060514")</f>
        <v>chr24:37059303-37060514</v>
      </c>
      <c r="J155" s="6" t="str">
        <f>HYPERLINK("http://www.ncbi.nlm.nih.gov/entrez/query.fcgi?db=gene&amp;cmd=Retrieve&amp;list_uids=140817","140817")</f>
        <v>140817</v>
      </c>
      <c r="K155" s="6" t="str">
        <f>HYPERLINK("http://www.ncbi.nlm.nih.gov/entrez/query.fcgi?cmd=Search&amp;db=Nucleotide&amp;term=NM_131887","NM_131887")</f>
        <v>NM_131887</v>
      </c>
      <c r="L155" s="4" t="s">
        <v>69</v>
      </c>
      <c r="M155" s="4">
        <v>37059303</v>
      </c>
      <c r="N155" s="4">
        <v>37060514</v>
      </c>
      <c r="O155" s="4" t="s">
        <v>23</v>
      </c>
      <c r="P155" s="3" t="s">
        <v>151</v>
      </c>
      <c r="Q155" s="3" t="s">
        <v>152</v>
      </c>
      <c r="R155" s="3" t="s">
        <v>61</v>
      </c>
      <c r="S155" s="3" t="s">
        <v>62</v>
      </c>
      <c r="T155" s="3" t="s">
        <v>259</v>
      </c>
      <c r="U155" s="3" t="s">
        <v>260</v>
      </c>
      <c r="V155" s="4"/>
    </row>
    <row r="156" spans="1:22" customFormat="1" x14ac:dyDescent="0.15">
      <c r="A156" s="3" t="s">
        <v>827</v>
      </c>
      <c r="B156" s="3" t="s">
        <v>828</v>
      </c>
      <c r="C156" s="3" t="s">
        <v>826</v>
      </c>
      <c r="D156" s="4">
        <v>4.8319999999999999</v>
      </c>
      <c r="E156" s="4">
        <v>4.8600000000000003</v>
      </c>
      <c r="F156" s="4">
        <v>4.47</v>
      </c>
      <c r="G156" s="4">
        <v>11.4</v>
      </c>
      <c r="H156" s="5">
        <f t="shared" si="2"/>
        <v>2.550335570469799</v>
      </c>
      <c r="I156" s="6" t="str">
        <f>HYPERLINK("http://genome.ucsc.edu/cgi-bin/hgTracks?clade=vertebrate&amp;org=Zebrafish&amp;db=danRer7&amp;position=chr4:8432321-8460399","chr4:8432321-8460399")</f>
        <v>chr4:8432321-8460399</v>
      </c>
      <c r="J156" s="6" t="str">
        <f>HYPERLINK("http://www.ncbi.nlm.nih.gov/entrez/query.fcgi?db=gene&amp;cmd=Retrieve&amp;list_uids=555520","555520")</f>
        <v>555520</v>
      </c>
      <c r="K156" s="6" t="str">
        <f>HYPERLINK("http://www.ncbi.nlm.nih.gov/entrez/query.fcgi?cmd=Search&amp;db=Nucleotide&amp;term=NM_001044334","NM_001044334")</f>
        <v>NM_001044334</v>
      </c>
      <c r="L156" s="4" t="s">
        <v>77</v>
      </c>
      <c r="M156" s="4">
        <v>8432321</v>
      </c>
      <c r="N156" s="4">
        <v>8460399</v>
      </c>
      <c r="O156" s="4" t="s">
        <v>23</v>
      </c>
      <c r="P156" s="3" t="s">
        <v>279</v>
      </c>
      <c r="Q156" s="3" t="s">
        <v>280</v>
      </c>
      <c r="R156" s="4"/>
      <c r="S156" s="4"/>
      <c r="T156" s="3" t="s">
        <v>212</v>
      </c>
      <c r="U156" s="3" t="s">
        <v>213</v>
      </c>
      <c r="V156" s="4"/>
    </row>
    <row r="157" spans="1:22" customFormat="1" x14ac:dyDescent="0.15">
      <c r="A157" s="3" t="s">
        <v>118</v>
      </c>
      <c r="B157" s="3" t="s">
        <v>119</v>
      </c>
      <c r="C157" s="3" t="s">
        <v>117</v>
      </c>
      <c r="D157" s="4">
        <v>5.3789999999999996</v>
      </c>
      <c r="E157" s="4">
        <v>20.239999999999998</v>
      </c>
      <c r="F157" s="4">
        <v>13.75</v>
      </c>
      <c r="G157" s="4">
        <v>34.93</v>
      </c>
      <c r="H157" s="5">
        <f t="shared" si="2"/>
        <v>2.5403636363636362</v>
      </c>
      <c r="I157" s="6" t="str">
        <f>HYPERLINK("http://genome.ucsc.edu/cgi-bin/hgTracks?clade=vertebrate&amp;org=Zebrafish&amp;db=danRer7&amp;position=chr8:20695872-20730181","chr8:20695872-20730181")</f>
        <v>chr8:20695872-20730181</v>
      </c>
      <c r="J157" s="6" t="str">
        <f>HYPERLINK("http://www.ncbi.nlm.nih.gov/entrez/query.fcgi?db=gene&amp;cmd=Retrieve&amp;list_uids=335159","335159")</f>
        <v>335159</v>
      </c>
      <c r="K157" s="6" t="str">
        <f>HYPERLINK("http://www.ncbi.nlm.nih.gov/entrez/query.fcgi?cmd=Search&amp;db=Nucleotide&amp;term=NM_001126379","NM_001126379")</f>
        <v>NM_001126379</v>
      </c>
      <c r="L157" s="4" t="s">
        <v>78</v>
      </c>
      <c r="M157" s="4">
        <v>20695872</v>
      </c>
      <c r="N157" s="4">
        <v>20730181</v>
      </c>
      <c r="O157" s="4" t="s">
        <v>23</v>
      </c>
      <c r="P157" s="3" t="s">
        <v>37</v>
      </c>
      <c r="Q157" s="3" t="s">
        <v>38</v>
      </c>
      <c r="R157" s="4"/>
      <c r="S157" s="4"/>
      <c r="T157" s="3" t="s">
        <v>113</v>
      </c>
      <c r="U157" s="3" t="s">
        <v>114</v>
      </c>
      <c r="V157" s="4"/>
    </row>
    <row r="158" spans="1:22" customFormat="1" x14ac:dyDescent="0.15">
      <c r="A158" s="3" t="s">
        <v>659</v>
      </c>
      <c r="B158" s="3" t="s">
        <v>660</v>
      </c>
      <c r="C158" s="3" t="s">
        <v>658</v>
      </c>
      <c r="D158" s="4">
        <v>0.77900000000000003</v>
      </c>
      <c r="E158" s="4">
        <v>4.8</v>
      </c>
      <c r="F158" s="4">
        <v>4.68</v>
      </c>
      <c r="G158" s="4">
        <v>11.79</v>
      </c>
      <c r="H158" s="5">
        <f t="shared" si="2"/>
        <v>2.5192307692307692</v>
      </c>
      <c r="I158" s="6" t="str">
        <f>HYPERLINK("http://genome.ucsc.edu/cgi-bin/hgTracks?clade=vertebrate&amp;org=Zebrafish&amp;db=danRer7&amp;position=Zv9_scaffold3548:229911-235118","Zv9_scaffold3548:229911-235118")</f>
        <v>Zv9_scaffold3548:229911-235118</v>
      </c>
      <c r="J158" s="6" t="str">
        <f>HYPERLINK("http://www.ncbi.nlm.nih.gov/entrez/query.fcgi?db=gene&amp;cmd=Retrieve&amp;list_uids=393735","393735")</f>
        <v>393735</v>
      </c>
      <c r="K158" s="6" t="str">
        <f>HYPERLINK("http://www.ncbi.nlm.nih.gov/entrez/query.fcgi?cmd=Search&amp;db=Nucleotide&amp;term=NM_200762","NM_200762")</f>
        <v>NM_200762</v>
      </c>
      <c r="L158" s="4" t="s">
        <v>460</v>
      </c>
      <c r="M158" s="4">
        <v>229911</v>
      </c>
      <c r="N158" s="4">
        <v>235118</v>
      </c>
      <c r="O158" s="4" t="s">
        <v>19</v>
      </c>
      <c r="P158" s="3" t="s">
        <v>661</v>
      </c>
      <c r="Q158" s="3" t="s">
        <v>662</v>
      </c>
      <c r="R158" s="3" t="s">
        <v>663</v>
      </c>
      <c r="S158" s="3" t="s">
        <v>664</v>
      </c>
      <c r="T158" s="4"/>
      <c r="U158" s="4"/>
      <c r="V158" s="4"/>
    </row>
    <row r="159" spans="1:22" customFormat="1" x14ac:dyDescent="0.15">
      <c r="A159" s="3" t="s">
        <v>364</v>
      </c>
      <c r="B159" s="3" t="s">
        <v>365</v>
      </c>
      <c r="C159" s="3" t="s">
        <v>363</v>
      </c>
      <c r="D159" s="4">
        <v>2.2519999999999998</v>
      </c>
      <c r="E159" s="4">
        <v>19.7</v>
      </c>
      <c r="F159" s="4">
        <v>19</v>
      </c>
      <c r="G159" s="4">
        <v>47.82</v>
      </c>
      <c r="H159" s="5">
        <f t="shared" si="2"/>
        <v>2.5168421052631578</v>
      </c>
      <c r="I159" s="6" t="str">
        <f>HYPERLINK("http://genome.ucsc.edu/cgi-bin/hgTracks?clade=vertebrate&amp;org=Zebrafish&amp;db=danRer7&amp;position=chr7:39481806-39487281","chr7:39481806-39487281")</f>
        <v>chr7:39481806-39487281</v>
      </c>
      <c r="J159" s="6" t="str">
        <f>HYPERLINK("http://www.ncbi.nlm.nih.gov/entrez/query.fcgi?db=gene&amp;cmd=Retrieve&amp;list_uids=140816","140816")</f>
        <v>140816</v>
      </c>
      <c r="K159" s="6" t="str">
        <f>HYPERLINK("http://www.ncbi.nlm.nih.gov/entrez/query.fcgi?cmd=Search&amp;db=Nucleotide&amp;term=NM_131886","NM_131886")</f>
        <v>NM_131886</v>
      </c>
      <c r="L159" s="4" t="s">
        <v>85</v>
      </c>
      <c r="M159" s="4">
        <v>39481806</v>
      </c>
      <c r="N159" s="4">
        <v>39487281</v>
      </c>
      <c r="O159" s="4" t="s">
        <v>23</v>
      </c>
      <c r="P159" s="3" t="s">
        <v>151</v>
      </c>
      <c r="Q159" s="3" t="s">
        <v>152</v>
      </c>
      <c r="R159" s="3" t="s">
        <v>61</v>
      </c>
      <c r="S159" s="3" t="s">
        <v>62</v>
      </c>
      <c r="T159" s="3" t="s">
        <v>259</v>
      </c>
      <c r="U159" s="3" t="s">
        <v>260</v>
      </c>
      <c r="V159" s="4"/>
    </row>
    <row r="160" spans="1:22" customFormat="1" x14ac:dyDescent="0.15">
      <c r="A160" s="3" t="s">
        <v>773</v>
      </c>
      <c r="B160" s="3" t="s">
        <v>774</v>
      </c>
      <c r="C160" s="3" t="s">
        <v>772</v>
      </c>
      <c r="D160" s="4">
        <v>4.25</v>
      </c>
      <c r="E160" s="4">
        <v>11.55</v>
      </c>
      <c r="F160" s="4">
        <v>13.84</v>
      </c>
      <c r="G160" s="4">
        <v>34.82</v>
      </c>
      <c r="H160" s="5">
        <f t="shared" si="2"/>
        <v>2.5158959537572256</v>
      </c>
      <c r="I160" s="6" t="str">
        <f>HYPERLINK("http://genome.ucsc.edu/cgi-bin/hgTracks?clade=vertebrate&amp;org=Zebrafish&amp;db=danRer7&amp;position=chr11:1302659-1357500","chr11:1302659-1357500")</f>
        <v>chr11:1302659-1357500</v>
      </c>
      <c r="J160" s="6" t="str">
        <f>HYPERLINK("http://www.ncbi.nlm.nih.gov/entrez/query.fcgi?db=gene&amp;cmd=Retrieve&amp;list_uids=334393","334393")</f>
        <v>334393</v>
      </c>
      <c r="K160" s="6" t="str">
        <f>HYPERLINK("http://www.ncbi.nlm.nih.gov/entrez/query.fcgi?cmd=Search&amp;db=Nucleotide&amp;term=NM_199896","NM_199896")</f>
        <v>NM_199896</v>
      </c>
      <c r="L160" s="4" t="s">
        <v>36</v>
      </c>
      <c r="M160" s="4">
        <v>1302659</v>
      </c>
      <c r="N160" s="4">
        <v>1357500</v>
      </c>
      <c r="O160" s="4" t="s">
        <v>19</v>
      </c>
      <c r="P160" s="3" t="s">
        <v>775</v>
      </c>
      <c r="Q160" s="3" t="s">
        <v>776</v>
      </c>
      <c r="R160" s="3" t="s">
        <v>58</v>
      </c>
      <c r="S160" s="3" t="s">
        <v>59</v>
      </c>
      <c r="T160" s="3" t="s">
        <v>777</v>
      </c>
      <c r="U160" s="3" t="s">
        <v>778</v>
      </c>
      <c r="V160" s="4"/>
    </row>
    <row r="161" spans="1:22" customFormat="1" x14ac:dyDescent="0.15">
      <c r="A161" s="3" t="s">
        <v>1044</v>
      </c>
      <c r="B161" s="3" t="s">
        <v>1045</v>
      </c>
      <c r="C161" s="3" t="s">
        <v>1043</v>
      </c>
      <c r="D161" s="4">
        <v>9.0950000000000006</v>
      </c>
      <c r="E161" s="4">
        <v>2.77</v>
      </c>
      <c r="F161" s="4">
        <v>2.13</v>
      </c>
      <c r="G161" s="4">
        <v>5.35</v>
      </c>
      <c r="H161" s="5">
        <f t="shared" si="2"/>
        <v>2.511737089201878</v>
      </c>
      <c r="I161" s="6" t="str">
        <f>HYPERLINK("http://genome.ucsc.edu/cgi-bin/hgTracks?clade=vertebrate&amp;org=Zebrafish&amp;db=danRer7&amp;position=chr10:5882254-5984608","chr10:5882254-5984608")</f>
        <v>chr10:5882254-5984608</v>
      </c>
      <c r="J161" s="6" t="str">
        <f>HYPERLINK("http://www.ncbi.nlm.nih.gov/entrez/query.fcgi?db=gene&amp;cmd=Retrieve&amp;list_uids=796461","796461")</f>
        <v>796461</v>
      </c>
      <c r="K161" s="6" t="str">
        <f>HYPERLINK("http://www.ncbi.nlm.nih.gov/entrez/query.fcgi?cmd=Search&amp;db=Nucleotide&amp;term=NM_001044911","NM_001044911")</f>
        <v>NM_001044911</v>
      </c>
      <c r="L161" s="4" t="s">
        <v>92</v>
      </c>
      <c r="M161" s="4">
        <v>5882254</v>
      </c>
      <c r="N161" s="4">
        <v>5984608</v>
      </c>
      <c r="O161" s="4" t="s">
        <v>19</v>
      </c>
      <c r="P161" s="3" t="s">
        <v>1046</v>
      </c>
      <c r="Q161" s="3" t="s">
        <v>1047</v>
      </c>
      <c r="R161" s="4"/>
      <c r="S161" s="4"/>
      <c r="T161" s="3" t="s">
        <v>195</v>
      </c>
      <c r="U161" s="3" t="s">
        <v>196</v>
      </c>
      <c r="V161" s="4"/>
    </row>
    <row r="162" spans="1:22" customFormat="1" x14ac:dyDescent="0.15">
      <c r="A162" s="3" t="s">
        <v>1104</v>
      </c>
      <c r="B162" s="3" t="s">
        <v>1105</v>
      </c>
      <c r="C162" s="3" t="s">
        <v>1103</v>
      </c>
      <c r="D162" s="4">
        <v>3.6920000000000002</v>
      </c>
      <c r="E162" s="4">
        <v>4.01</v>
      </c>
      <c r="F162" s="4">
        <v>2.42</v>
      </c>
      <c r="G162" s="4">
        <v>6.06</v>
      </c>
      <c r="H162" s="5">
        <f t="shared" si="2"/>
        <v>2.5041322314049586</v>
      </c>
      <c r="I162" s="6" t="str">
        <f>HYPERLINK("http://genome.ucsc.edu/cgi-bin/hgTracks?clade=vertebrate&amp;org=Zebrafish&amp;db=danRer7&amp;position=chr15:17101270-17106252","chr15:17101270-17106252")</f>
        <v>chr15:17101270-17106252</v>
      </c>
      <c r="J162" s="6" t="str">
        <f>HYPERLINK("http://www.ncbi.nlm.nih.gov/entrez/query.fcgi?db=gene&amp;cmd=Retrieve&amp;list_uids=494086","494086")</f>
        <v>494086</v>
      </c>
      <c r="K162" s="6" t="str">
        <f>HYPERLINK("http://www.ncbi.nlm.nih.gov/entrez/query.fcgi?cmd=Search&amp;db=Nucleotide&amp;term=NM_001008629","NM_001008629")</f>
        <v>NM_001008629</v>
      </c>
      <c r="L162" s="4" t="s">
        <v>18</v>
      </c>
      <c r="M162" s="4">
        <v>17101270</v>
      </c>
      <c r="N162" s="4">
        <v>17106252</v>
      </c>
      <c r="O162" s="4" t="s">
        <v>19</v>
      </c>
      <c r="P162" s="3" t="s">
        <v>65</v>
      </c>
      <c r="Q162" s="3" t="s">
        <v>66</v>
      </c>
      <c r="R162" s="3" t="s">
        <v>67</v>
      </c>
      <c r="S162" s="3" t="s">
        <v>68</v>
      </c>
      <c r="T162" s="3" t="s">
        <v>24</v>
      </c>
      <c r="U162" s="3" t="s">
        <v>25</v>
      </c>
      <c r="V162" s="4"/>
    </row>
    <row r="163" spans="1:22" customFormat="1" x14ac:dyDescent="0.15">
      <c r="A163" s="3" t="s">
        <v>1551</v>
      </c>
      <c r="B163" s="3" t="s">
        <v>1551</v>
      </c>
      <c r="C163" s="3" t="s">
        <v>1550</v>
      </c>
      <c r="D163" s="4">
        <v>1.6739999999999999</v>
      </c>
      <c r="E163" s="4">
        <v>3.73</v>
      </c>
      <c r="F163" s="4">
        <v>2.96</v>
      </c>
      <c r="G163" s="4">
        <v>7.41</v>
      </c>
      <c r="H163" s="5">
        <f t="shared" si="2"/>
        <v>2.5033783783783785</v>
      </c>
      <c r="I163" s="6" t="str">
        <f>HYPERLINK("http://genome.ucsc.edu/cgi-bin/hgTracks?clade=vertebrate&amp;org=Zebrafish&amp;db=danRer7&amp;position=chr21:8305390-8309563","chr21:8305390-8309563")</f>
        <v>chr21:8305390-8309563</v>
      </c>
      <c r="J163" s="6" t="str">
        <f>HYPERLINK("http://www.ncbi.nlm.nih.gov/entrez/query.fcgi?db=gene&amp;cmd=Retrieve&amp;list_uids=767774","767774")</f>
        <v>767774</v>
      </c>
      <c r="K163" s="6" t="str">
        <f>HYPERLINK("http://www.ncbi.nlm.nih.gov/entrez/query.fcgi?cmd=Search&amp;db=Nucleotide&amp;term=NM_001076741","NM_001076741")</f>
        <v>NM_001076741</v>
      </c>
      <c r="L163" s="4" t="s">
        <v>83</v>
      </c>
      <c r="M163" s="4">
        <v>8305390</v>
      </c>
      <c r="N163" s="4">
        <v>8309563</v>
      </c>
      <c r="O163" s="4" t="s">
        <v>23</v>
      </c>
      <c r="P163" s="3" t="s">
        <v>476</v>
      </c>
      <c r="Q163" s="3" t="s">
        <v>477</v>
      </c>
      <c r="R163" s="3" t="s">
        <v>115</v>
      </c>
      <c r="S163" s="3" t="s">
        <v>116</v>
      </c>
      <c r="T163" s="3" t="s">
        <v>428</v>
      </c>
      <c r="U163" s="3" t="s">
        <v>429</v>
      </c>
      <c r="V163" s="4"/>
    </row>
    <row r="164" spans="1:22" customFormat="1" x14ac:dyDescent="0.15">
      <c r="A164" s="3" t="s">
        <v>1347</v>
      </c>
      <c r="B164" s="3" t="s">
        <v>1348</v>
      </c>
      <c r="C164" s="3" t="s">
        <v>1346</v>
      </c>
      <c r="D164" s="4">
        <v>1.234</v>
      </c>
      <c r="E164" s="4">
        <v>1.57</v>
      </c>
      <c r="F164" s="4">
        <v>1.97</v>
      </c>
      <c r="G164" s="4">
        <v>4.93</v>
      </c>
      <c r="H164" s="5">
        <f t="shared" si="2"/>
        <v>2.5025380710659899</v>
      </c>
      <c r="I164" s="6" t="str">
        <f>HYPERLINK("http://genome.ucsc.edu/cgi-bin/hgTracks?clade=vertebrate&amp;org=Zebrafish&amp;db=danRer7&amp;position=chr23:33571411-33575096","chr23:33571411-33575096")</f>
        <v>chr23:33571411-33575096</v>
      </c>
      <c r="J164" s="6" t="str">
        <f>HYPERLINK("http://www.ncbi.nlm.nih.gov/entrez/query.fcgi?db=gene&amp;cmd=Retrieve&amp;list_uids=436697","436697")</f>
        <v>436697</v>
      </c>
      <c r="K164" s="6" t="str">
        <f>HYPERLINK("http://www.ncbi.nlm.nih.gov/entrez/query.fcgi?cmd=Search&amp;db=Nucleotide&amp;term=NM_001002424","NM_001002424")</f>
        <v>NM_001002424</v>
      </c>
      <c r="L164" s="4" t="s">
        <v>80</v>
      </c>
      <c r="M164" s="4">
        <v>33571411</v>
      </c>
      <c r="N164" s="4">
        <v>33575096</v>
      </c>
      <c r="O164" s="4" t="s">
        <v>19</v>
      </c>
      <c r="P164" s="3" t="s">
        <v>99</v>
      </c>
      <c r="Q164" s="3" t="s">
        <v>100</v>
      </c>
      <c r="R164" s="3" t="s">
        <v>1349</v>
      </c>
      <c r="S164" s="3" t="s">
        <v>1350</v>
      </c>
      <c r="T164" s="3" t="s">
        <v>24</v>
      </c>
      <c r="U164" s="3" t="s">
        <v>25</v>
      </c>
      <c r="V164" s="4"/>
    </row>
    <row r="165" spans="1:22" customFormat="1" x14ac:dyDescent="0.15">
      <c r="A165" s="3" t="s">
        <v>1435</v>
      </c>
      <c r="B165" s="3" t="s">
        <v>1436</v>
      </c>
      <c r="C165" s="3" t="s">
        <v>1434</v>
      </c>
      <c r="D165" s="4">
        <v>4.1079999999999997</v>
      </c>
      <c r="E165" s="4">
        <v>8.08</v>
      </c>
      <c r="F165" s="4">
        <v>9.02</v>
      </c>
      <c r="G165" s="4">
        <v>22.26</v>
      </c>
      <c r="H165" s="5">
        <f t="shared" si="2"/>
        <v>2.4678492239467853</v>
      </c>
      <c r="I165" s="6" t="str">
        <f>HYPERLINK("http://genome.ucsc.edu/cgi-bin/hgTracks?clade=vertebrate&amp;org=Zebrafish&amp;db=danRer7&amp;position=chr16:43226655-43235727","chr16:43226655-43235727")</f>
        <v>chr16:43226655-43235727</v>
      </c>
      <c r="J165" s="6" t="str">
        <f>HYPERLINK("http://www.ncbi.nlm.nih.gov/entrez/query.fcgi?db=gene&amp;cmd=Retrieve&amp;list_uids=568021","568021")</f>
        <v>568021</v>
      </c>
      <c r="K165" s="6" t="str">
        <f>HYPERLINK("http://www.ncbi.nlm.nih.gov/entrez/query.fcgi?cmd=Search&amp;db=Nucleotide&amp;term=NM_001080036","NM_001080036")</f>
        <v>NM_001080036</v>
      </c>
      <c r="L165" s="4" t="s">
        <v>71</v>
      </c>
      <c r="M165" s="4">
        <v>43226655</v>
      </c>
      <c r="N165" s="4">
        <v>43235727</v>
      </c>
      <c r="O165" s="4" t="s">
        <v>23</v>
      </c>
      <c r="P165" s="3" t="s">
        <v>65</v>
      </c>
      <c r="Q165" s="3" t="s">
        <v>66</v>
      </c>
      <c r="R165" s="3" t="s">
        <v>67</v>
      </c>
      <c r="S165" s="3" t="s">
        <v>68</v>
      </c>
      <c r="T165" s="3" t="s">
        <v>24</v>
      </c>
      <c r="U165" s="3" t="s">
        <v>25</v>
      </c>
      <c r="V165" s="4"/>
    </row>
    <row r="166" spans="1:22" customFormat="1" x14ac:dyDescent="0.15">
      <c r="A166" s="3" t="s">
        <v>1025</v>
      </c>
      <c r="B166" s="3" t="s">
        <v>1026</v>
      </c>
      <c r="C166" s="3" t="s">
        <v>1024</v>
      </c>
      <c r="D166" s="4">
        <v>7.9710000000000001</v>
      </c>
      <c r="E166" s="4">
        <v>4.16</v>
      </c>
      <c r="F166" s="4">
        <v>4.8099999999999996</v>
      </c>
      <c r="G166" s="4">
        <v>11.87</v>
      </c>
      <c r="H166" s="5">
        <f t="shared" si="2"/>
        <v>2.4677754677754677</v>
      </c>
      <c r="I166" s="6" t="str">
        <f>HYPERLINK("http://genome.ucsc.edu/cgi-bin/hgTracks?clade=vertebrate&amp;org=Zebrafish&amp;db=danRer7&amp;position=chr13:22858195-22875758","chr13:22858195-22875758")</f>
        <v>chr13:22858195-22875758</v>
      </c>
      <c r="J166" s="6" t="str">
        <f>HYPERLINK("http://www.ncbi.nlm.nih.gov/entrez/query.fcgi?db=gene&amp;cmd=Retrieve&amp;list_uids=415100","415100")</f>
        <v>415100</v>
      </c>
      <c r="K166" s="6" t="str">
        <f>HYPERLINK("http://www.ncbi.nlm.nih.gov/entrez/query.fcgi?cmd=Search&amp;db=Nucleotide&amp;term=NM_001001840","NM_001001840")</f>
        <v>NM_001001840</v>
      </c>
      <c r="L166" s="4" t="s">
        <v>74</v>
      </c>
      <c r="M166" s="4">
        <v>22858195</v>
      </c>
      <c r="N166" s="4">
        <v>22875758</v>
      </c>
      <c r="O166" s="4" t="s">
        <v>23</v>
      </c>
      <c r="P166" s="3" t="s">
        <v>545</v>
      </c>
      <c r="Q166" s="3" t="s">
        <v>546</v>
      </c>
      <c r="R166" s="3" t="s">
        <v>61</v>
      </c>
      <c r="S166" s="3" t="s">
        <v>62</v>
      </c>
      <c r="T166" s="3" t="s">
        <v>949</v>
      </c>
      <c r="U166" s="3" t="s">
        <v>950</v>
      </c>
      <c r="V166" s="4"/>
    </row>
    <row r="167" spans="1:22" customFormat="1" x14ac:dyDescent="0.15">
      <c r="A167" s="3" t="s">
        <v>1557</v>
      </c>
      <c r="B167" s="3" t="s">
        <v>1557</v>
      </c>
      <c r="C167" s="3" t="s">
        <v>1556</v>
      </c>
      <c r="D167" s="4">
        <v>3.3889999999999998</v>
      </c>
      <c r="E167" s="4">
        <v>4.9400000000000004</v>
      </c>
      <c r="F167" s="4">
        <v>4.57</v>
      </c>
      <c r="G167" s="4">
        <v>11.26</v>
      </c>
      <c r="H167" s="5">
        <f t="shared" si="2"/>
        <v>2.4638949671772425</v>
      </c>
      <c r="I167" s="6" t="str">
        <f>HYPERLINK("http://genome.ucsc.edu/cgi-bin/hgTracks?clade=vertebrate&amp;org=Zebrafish&amp;db=danRer7&amp;position=chr22:148597-155404","chr22:148597-155404")</f>
        <v>chr22:148597-155404</v>
      </c>
      <c r="J167" s="6" t="str">
        <f>HYPERLINK("http://www.ncbi.nlm.nih.gov/entrez/query.fcgi?db=gene&amp;cmd=Retrieve&amp;list_uids=768160","768160")</f>
        <v>768160</v>
      </c>
      <c r="K167" s="6" t="str">
        <f>HYPERLINK("http://www.ncbi.nlm.nih.gov/entrez/query.fcgi?cmd=Search&amp;db=Nucleotide&amp;term=NM_001077303","NM_001077303")</f>
        <v>NM_001077303</v>
      </c>
      <c r="L167" s="4" t="s">
        <v>103</v>
      </c>
      <c r="M167" s="4">
        <v>148597</v>
      </c>
      <c r="N167" s="4">
        <v>155404</v>
      </c>
      <c r="O167" s="4" t="s">
        <v>23</v>
      </c>
      <c r="P167" s="4"/>
      <c r="Q167" s="4"/>
      <c r="R167" s="3" t="s">
        <v>67</v>
      </c>
      <c r="S167" s="3" t="s">
        <v>68</v>
      </c>
      <c r="T167" s="3" t="s">
        <v>88</v>
      </c>
      <c r="U167" s="3" t="s">
        <v>89</v>
      </c>
      <c r="V167" s="4"/>
    </row>
    <row r="168" spans="1:22" customFormat="1" x14ac:dyDescent="0.15">
      <c r="A168" s="3" t="s">
        <v>1087</v>
      </c>
      <c r="B168" s="3" t="s">
        <v>1088</v>
      </c>
      <c r="C168" s="3" t="s">
        <v>1086</v>
      </c>
      <c r="D168" s="4">
        <v>1.377</v>
      </c>
      <c r="E168" s="4">
        <v>17.920000000000002</v>
      </c>
      <c r="F168" s="4">
        <v>20.07</v>
      </c>
      <c r="G168" s="4">
        <v>49.38</v>
      </c>
      <c r="H168" s="5">
        <f t="shared" si="2"/>
        <v>2.4603886397608372</v>
      </c>
      <c r="I168" s="6" t="str">
        <f>HYPERLINK("http://genome.ucsc.edu/cgi-bin/hgTracks?clade=vertebrate&amp;org=Zebrafish&amp;db=danRer7&amp;position=chr25:24248136-24249419","chr25:24248136-24249419")</f>
        <v>chr25:24248136-24249419</v>
      </c>
      <c r="J168" s="6" t="str">
        <f>HYPERLINK("http://www.ncbi.nlm.nih.gov/entrez/query.fcgi?db=gene&amp;cmd=Retrieve&amp;list_uids=553622","553622")</f>
        <v>553622</v>
      </c>
      <c r="K168" s="6" t="str">
        <f>HYPERLINK("http://www.ncbi.nlm.nih.gov/entrez/query.fcgi?cmd=Search&amp;db=Nucleotide&amp;term=NM_001020596","NM_001020596")</f>
        <v>NM_001020596</v>
      </c>
      <c r="L168" s="4" t="s">
        <v>60</v>
      </c>
      <c r="M168" s="4">
        <v>24248136</v>
      </c>
      <c r="N168" s="4">
        <v>24249419</v>
      </c>
      <c r="O168" s="4" t="s">
        <v>19</v>
      </c>
      <c r="P168" s="3" t="s">
        <v>65</v>
      </c>
      <c r="Q168" s="3" t="s">
        <v>66</v>
      </c>
      <c r="R168" s="3" t="s">
        <v>928</v>
      </c>
      <c r="S168" s="3" t="s">
        <v>929</v>
      </c>
      <c r="T168" s="3" t="s">
        <v>24</v>
      </c>
      <c r="U168" s="3" t="s">
        <v>25</v>
      </c>
      <c r="V168" s="4"/>
    </row>
    <row r="169" spans="1:22" customFormat="1" x14ac:dyDescent="0.15">
      <c r="A169" s="3" t="s">
        <v>319</v>
      </c>
      <c r="B169" s="3" t="s">
        <v>320</v>
      </c>
      <c r="C169" s="3" t="s">
        <v>318</v>
      </c>
      <c r="D169" s="4">
        <v>4.3109999999999999</v>
      </c>
      <c r="E169" s="4">
        <v>3.48</v>
      </c>
      <c r="F169" s="4">
        <v>5.78</v>
      </c>
      <c r="G169" s="4">
        <v>14.2</v>
      </c>
      <c r="H169" s="5">
        <f t="shared" si="2"/>
        <v>2.4567474048442905</v>
      </c>
      <c r="I169" s="6" t="str">
        <f>HYPERLINK("http://genome.ucsc.edu/cgi-bin/hgTracks?clade=vertebrate&amp;org=Zebrafish&amp;db=danRer7&amp;position=chr21:19743334-19760478","chr21:19743334-19760478")</f>
        <v>chr21:19743334-19760478</v>
      </c>
      <c r="J169" s="6" t="str">
        <f>HYPERLINK("http://www.ncbi.nlm.nih.gov/entrez/query.fcgi?db=gene&amp;cmd=Retrieve&amp;list_uids=393611","393611")</f>
        <v>393611</v>
      </c>
      <c r="K169" s="6" t="str">
        <f>HYPERLINK("http://www.ncbi.nlm.nih.gov/entrez/query.fcgi?cmd=Search&amp;db=Nucleotide&amp;term=NM_200638","NM_200638")</f>
        <v>NM_200638</v>
      </c>
      <c r="L169" s="4" t="s">
        <v>83</v>
      </c>
      <c r="M169" s="4">
        <v>19743334</v>
      </c>
      <c r="N169" s="4">
        <v>19760478</v>
      </c>
      <c r="O169" s="4" t="s">
        <v>19</v>
      </c>
      <c r="P169" s="3" t="s">
        <v>321</v>
      </c>
      <c r="Q169" s="3" t="s">
        <v>322</v>
      </c>
      <c r="R169" s="3" t="s">
        <v>323</v>
      </c>
      <c r="S169" s="3" t="s">
        <v>324</v>
      </c>
      <c r="T169" s="4"/>
      <c r="U169" s="4"/>
      <c r="V169" s="4"/>
    </row>
    <row r="170" spans="1:22" customFormat="1" x14ac:dyDescent="0.15">
      <c r="A170" s="3" t="s">
        <v>383</v>
      </c>
      <c r="B170" s="3" t="s">
        <v>384</v>
      </c>
      <c r="C170" s="3" t="s">
        <v>382</v>
      </c>
      <c r="D170" s="4">
        <v>3.2789999999999999</v>
      </c>
      <c r="E170" s="4">
        <v>2.5299999999999998</v>
      </c>
      <c r="F170" s="4">
        <v>2.85</v>
      </c>
      <c r="G170" s="4">
        <v>6.96</v>
      </c>
      <c r="H170" s="5">
        <f t="shared" si="2"/>
        <v>2.4421052631578948</v>
      </c>
      <c r="I170" s="6" t="str">
        <f>HYPERLINK("http://genome.ucsc.edu/cgi-bin/hgTracks?clade=vertebrate&amp;org=Zebrafish&amp;db=danRer7&amp;position=chr18:20903529-20926085","chr18:20903529-20926085")</f>
        <v>chr18:20903529-20926085</v>
      </c>
      <c r="J170" s="6" t="str">
        <f>HYPERLINK("http://www.ncbi.nlm.nih.gov/entrez/query.fcgi?db=gene&amp;cmd=Retrieve&amp;list_uids=558499","558499")</f>
        <v>558499</v>
      </c>
      <c r="K170" s="6" t="str">
        <f>HYPERLINK("http://www.ncbi.nlm.nih.gov/entrez/query.fcgi?cmd=Search&amp;db=Nucleotide&amp;term=NM_001044865","NM_001044865")</f>
        <v>NM_001044865</v>
      </c>
      <c r="L170" s="4" t="s">
        <v>41</v>
      </c>
      <c r="M170" s="4">
        <v>20903529</v>
      </c>
      <c r="N170" s="4">
        <v>20926085</v>
      </c>
      <c r="O170" s="4" t="s">
        <v>23</v>
      </c>
      <c r="P170" s="3" t="s">
        <v>385</v>
      </c>
      <c r="Q170" s="3" t="s">
        <v>386</v>
      </c>
      <c r="R170" s="3" t="s">
        <v>67</v>
      </c>
      <c r="S170" s="3" t="s">
        <v>68</v>
      </c>
      <c r="T170" s="3" t="s">
        <v>387</v>
      </c>
      <c r="U170" s="3" t="s">
        <v>388</v>
      </c>
      <c r="V170" s="4"/>
    </row>
    <row r="171" spans="1:22" customFormat="1" x14ac:dyDescent="0.15">
      <c r="A171" s="3" t="s">
        <v>576</v>
      </c>
      <c r="B171" s="3" t="s">
        <v>577</v>
      </c>
      <c r="C171" s="3" t="s">
        <v>575</v>
      </c>
      <c r="D171" s="4">
        <v>3.367</v>
      </c>
      <c r="E171" s="4">
        <v>4.92</v>
      </c>
      <c r="F171" s="4">
        <v>4.28</v>
      </c>
      <c r="G171" s="4">
        <v>10.43</v>
      </c>
      <c r="H171" s="5">
        <f t="shared" si="2"/>
        <v>2.4369158878504669</v>
      </c>
      <c r="I171" s="6" t="str">
        <f>HYPERLINK("http://genome.ucsc.edu/cgi-bin/hgTracks?clade=vertebrate&amp;org=Zebrafish&amp;db=danRer7&amp;position=chr4:15703630-15712892","chr4:15703630-15712892")</f>
        <v>chr4:15703630-15712892</v>
      </c>
      <c r="J171" s="6" t="str">
        <f>HYPERLINK("http://www.ncbi.nlm.nih.gov/entrez/query.fcgi?db=gene&amp;cmd=Retrieve&amp;list_uids=563991","563991")</f>
        <v>563991</v>
      </c>
      <c r="K171" s="6" t="str">
        <f>HYPERLINK("http://www.ncbi.nlm.nih.gov/entrez/query.fcgi?cmd=Search&amp;db=Nucleotide&amp;term=NM_001025531","NM_001025531")</f>
        <v>NM_001025531</v>
      </c>
      <c r="L171" s="4" t="s">
        <v>77</v>
      </c>
      <c r="M171" s="4">
        <v>15703630</v>
      </c>
      <c r="N171" s="4">
        <v>15712892</v>
      </c>
      <c r="O171" s="4" t="s">
        <v>19</v>
      </c>
      <c r="P171" s="4"/>
      <c r="Q171" s="4"/>
      <c r="R171" s="4"/>
      <c r="S171" s="4"/>
      <c r="T171" s="4"/>
      <c r="U171" s="4"/>
      <c r="V171" s="4"/>
    </row>
    <row r="172" spans="1:22" customFormat="1" x14ac:dyDescent="0.15">
      <c r="A172" s="3" t="s">
        <v>243</v>
      </c>
      <c r="B172" s="3" t="s">
        <v>244</v>
      </c>
      <c r="C172" s="3" t="s">
        <v>242</v>
      </c>
      <c r="D172" s="4">
        <v>8.5510000000000002</v>
      </c>
      <c r="E172" s="4">
        <v>5.98</v>
      </c>
      <c r="F172" s="4">
        <v>6.66</v>
      </c>
      <c r="G172" s="4">
        <v>16.2</v>
      </c>
      <c r="H172" s="5">
        <f t="shared" si="2"/>
        <v>2.4324324324324325</v>
      </c>
      <c r="I172" s="6" t="str">
        <f>HYPERLINK("http://genome.ucsc.edu/cgi-bin/hgTracks?clade=vertebrate&amp;org=Zebrafish&amp;db=danRer7&amp;position=chr17:53909300-53915808","chr17:53909300-53915808")</f>
        <v>chr17:53909300-53915808</v>
      </c>
      <c r="J172" s="6" t="str">
        <f>HYPERLINK("http://www.ncbi.nlm.nih.gov/entrez/query.fcgi?db=gene&amp;cmd=Retrieve&amp;list_uids=402848","402848")</f>
        <v>402848</v>
      </c>
      <c r="K172" s="6" t="str">
        <f>HYPERLINK("http://www.ncbi.nlm.nih.gov/entrez/query.fcgi?cmd=Search&amp;db=Nucleotide&amp;term=NM_214725","NM_214725")</f>
        <v>NM_214725</v>
      </c>
      <c r="L172" s="4" t="s">
        <v>84</v>
      </c>
      <c r="M172" s="4">
        <v>53909300</v>
      </c>
      <c r="N172" s="4">
        <v>53915808</v>
      </c>
      <c r="O172" s="4" t="s">
        <v>19</v>
      </c>
      <c r="P172" s="3" t="s">
        <v>240</v>
      </c>
      <c r="Q172" s="3" t="s">
        <v>241</v>
      </c>
      <c r="R172" s="3" t="s">
        <v>67</v>
      </c>
      <c r="S172" s="3" t="s">
        <v>68</v>
      </c>
      <c r="T172" s="3" t="s">
        <v>24</v>
      </c>
      <c r="U172" s="3" t="s">
        <v>25</v>
      </c>
      <c r="V172" s="4"/>
    </row>
    <row r="173" spans="1:22" customFormat="1" x14ac:dyDescent="0.15">
      <c r="A173" s="3" t="s">
        <v>903</v>
      </c>
      <c r="B173" s="3" t="s">
        <v>904</v>
      </c>
      <c r="C173" s="3" t="s">
        <v>902</v>
      </c>
      <c r="D173" s="4">
        <v>0.97699999999999998</v>
      </c>
      <c r="E173" s="4">
        <v>1.45</v>
      </c>
      <c r="F173" s="4">
        <v>2.1800000000000002</v>
      </c>
      <c r="G173" s="4">
        <v>5.3</v>
      </c>
      <c r="H173" s="5">
        <f t="shared" si="2"/>
        <v>2.4311926605504586</v>
      </c>
      <c r="I173" s="6" t="str">
        <f>HYPERLINK("http://genome.ucsc.edu/cgi-bin/hgTracks?clade=vertebrate&amp;org=Zebrafish&amp;db=danRer7&amp;position=chr22:41123700-41127009","chr22:41123700-41127009")</f>
        <v>chr22:41123700-41127009</v>
      </c>
      <c r="J173" s="6" t="str">
        <f>HYPERLINK("http://www.ncbi.nlm.nih.gov/entrez/query.fcgi?db=gene&amp;cmd=Retrieve&amp;list_uids=563601","563601")</f>
        <v>563601</v>
      </c>
      <c r="K173" s="6" t="str">
        <f>HYPERLINK("http://www.ncbi.nlm.nih.gov/entrez/query.fcgi?cmd=Search&amp;db=Nucleotide&amp;term=NM_001045022","NM_001045022")</f>
        <v>NM_001045022</v>
      </c>
      <c r="L173" s="4" t="s">
        <v>103</v>
      </c>
      <c r="M173" s="4">
        <v>41123700</v>
      </c>
      <c r="N173" s="4">
        <v>41127009</v>
      </c>
      <c r="O173" s="4" t="s">
        <v>23</v>
      </c>
      <c r="P173" s="4"/>
      <c r="Q173" s="4"/>
      <c r="R173" s="4"/>
      <c r="S173" s="4"/>
      <c r="T173" s="4"/>
      <c r="U173" s="4"/>
      <c r="V173" s="4"/>
    </row>
    <row r="174" spans="1:22" customFormat="1" x14ac:dyDescent="0.15">
      <c r="A174" s="3" t="s">
        <v>328</v>
      </c>
      <c r="B174" s="3" t="s">
        <v>329</v>
      </c>
      <c r="C174" s="3" t="s">
        <v>327</v>
      </c>
      <c r="D174" s="4">
        <v>3.1539999999999999</v>
      </c>
      <c r="E174" s="4">
        <v>38.229999999999997</v>
      </c>
      <c r="F174" s="4">
        <v>37.99</v>
      </c>
      <c r="G174" s="4">
        <v>92.26</v>
      </c>
      <c r="H174" s="5">
        <f t="shared" si="2"/>
        <v>2.428533824690708</v>
      </c>
      <c r="I174" s="6" t="str">
        <f>HYPERLINK("http://genome.ucsc.edu/cgi-bin/hgTracks?clade=vertebrate&amp;org=Zebrafish&amp;db=danRer7&amp;position=chr18:36685086-36707885","chr18:36685086-36707885")</f>
        <v>chr18:36685086-36707885</v>
      </c>
      <c r="J174" s="6" t="str">
        <f>HYPERLINK("http://www.ncbi.nlm.nih.gov/entrez/query.fcgi?db=gene&amp;cmd=Retrieve&amp;list_uids=406341","406341")</f>
        <v>406341</v>
      </c>
      <c r="K174" s="6" t="str">
        <f>HYPERLINK("http://www.ncbi.nlm.nih.gov/entrez/query.fcgi?cmd=Search&amp;db=Nucleotide&amp;term=NM_213068","NM_213068")</f>
        <v>NM_213068</v>
      </c>
      <c r="L174" s="4" t="s">
        <v>41</v>
      </c>
      <c r="M174" s="4">
        <v>36685086</v>
      </c>
      <c r="N174" s="4">
        <v>36707885</v>
      </c>
      <c r="O174" s="4" t="s">
        <v>19</v>
      </c>
      <c r="P174" s="3" t="s">
        <v>65</v>
      </c>
      <c r="Q174" s="3" t="s">
        <v>66</v>
      </c>
      <c r="R174" s="3" t="s">
        <v>67</v>
      </c>
      <c r="S174" s="3" t="s">
        <v>68</v>
      </c>
      <c r="T174" s="3" t="s">
        <v>24</v>
      </c>
      <c r="U174" s="3" t="s">
        <v>25</v>
      </c>
      <c r="V174" s="4"/>
    </row>
    <row r="175" spans="1:22" customFormat="1" x14ac:dyDescent="0.15">
      <c r="A175" s="3" t="s">
        <v>1090</v>
      </c>
      <c r="B175" s="3" t="s">
        <v>1091</v>
      </c>
      <c r="C175" s="3" t="s">
        <v>1089</v>
      </c>
      <c r="D175" s="4">
        <v>1.831</v>
      </c>
      <c r="E175" s="4">
        <v>4.0199999999999996</v>
      </c>
      <c r="F175" s="4">
        <v>3.76</v>
      </c>
      <c r="G175" s="4">
        <v>9.1199999999999992</v>
      </c>
      <c r="H175" s="5">
        <f t="shared" si="2"/>
        <v>2.4255319148936167</v>
      </c>
      <c r="I175" s="6" t="str">
        <f>HYPERLINK("http://genome.ucsc.edu/cgi-bin/hgTracks?clade=vertebrate&amp;org=Zebrafish&amp;db=danRer7&amp;position=chr23:5806310-5809009","chr23:5806310-5809009")</f>
        <v>chr23:5806310-5809009</v>
      </c>
      <c r="J175" s="6" t="str">
        <f>HYPERLINK("http://www.ncbi.nlm.nih.gov/entrez/query.fcgi?db=gene&amp;cmd=Retrieve&amp;list_uids=368779","368779")</f>
        <v>368779</v>
      </c>
      <c r="K175" s="6" t="str">
        <f>HYPERLINK("http://www.ncbi.nlm.nih.gov/entrez/query.fcgi?cmd=Search&amp;db=Nucleotide&amp;term=NM_001002455","NM_001002455")</f>
        <v>NM_001002455</v>
      </c>
      <c r="L175" s="4" t="s">
        <v>80</v>
      </c>
      <c r="M175" s="4">
        <v>5806310</v>
      </c>
      <c r="N175" s="4">
        <v>5809009</v>
      </c>
      <c r="O175" s="4" t="s">
        <v>19</v>
      </c>
      <c r="P175" s="3" t="s">
        <v>1092</v>
      </c>
      <c r="Q175" s="3" t="s">
        <v>1093</v>
      </c>
      <c r="R175" s="3" t="s">
        <v>1033</v>
      </c>
      <c r="S175" s="3" t="s">
        <v>1034</v>
      </c>
      <c r="T175" s="3" t="s">
        <v>1094</v>
      </c>
      <c r="U175" s="3" t="s">
        <v>1095</v>
      </c>
      <c r="V175" s="4"/>
    </row>
    <row r="176" spans="1:22" customFormat="1" x14ac:dyDescent="0.15">
      <c r="A176" s="3" t="s">
        <v>702</v>
      </c>
      <c r="B176" s="3" t="s">
        <v>703</v>
      </c>
      <c r="C176" s="3" t="s">
        <v>701</v>
      </c>
      <c r="D176" s="4">
        <v>1.7390000000000001</v>
      </c>
      <c r="E176" s="4">
        <v>12.1</v>
      </c>
      <c r="F176" s="4">
        <v>12.69</v>
      </c>
      <c r="G176" s="4">
        <v>30.74</v>
      </c>
      <c r="H176" s="5">
        <f t="shared" si="2"/>
        <v>2.4223798266351459</v>
      </c>
      <c r="I176" s="6" t="str">
        <f>HYPERLINK("http://genome.ucsc.edu/cgi-bin/hgTracks?clade=vertebrate&amp;org=Zebrafish&amp;db=danRer7&amp;position=chr3:18596409-18614404","chr3:18596409-18614404")</f>
        <v>chr3:18596409-18614404</v>
      </c>
      <c r="J176" s="6" t="str">
        <f>HYPERLINK("http://www.ncbi.nlm.nih.gov/entrez/query.fcgi?db=gene&amp;cmd=Retrieve&amp;list_uids=336977","336977")</f>
        <v>336977</v>
      </c>
      <c r="K176" s="6" t="str">
        <f>HYPERLINK("http://www.ncbi.nlm.nih.gov/entrez/query.fcgi?cmd=Search&amp;db=Nucleotide&amp;term=NM_200043","NM_200043")</f>
        <v>NM_200043</v>
      </c>
      <c r="L176" s="4" t="s">
        <v>47</v>
      </c>
      <c r="M176" s="4">
        <v>18596409</v>
      </c>
      <c r="N176" s="4">
        <v>18614404</v>
      </c>
      <c r="O176" s="4" t="s">
        <v>19</v>
      </c>
      <c r="P176" s="4"/>
      <c r="Q176" s="4"/>
      <c r="R176" s="3" t="s">
        <v>704</v>
      </c>
      <c r="S176" s="3" t="s">
        <v>705</v>
      </c>
      <c r="T176" s="3" t="s">
        <v>706</v>
      </c>
      <c r="U176" s="3" t="s">
        <v>707</v>
      </c>
      <c r="V176" s="4"/>
    </row>
    <row r="177" spans="1:22" customFormat="1" x14ac:dyDescent="0.15">
      <c r="A177" s="3" t="s">
        <v>1523</v>
      </c>
      <c r="B177" s="3" t="s">
        <v>1523</v>
      </c>
      <c r="C177" s="3" t="s">
        <v>1522</v>
      </c>
      <c r="D177" s="4">
        <v>2.613</v>
      </c>
      <c r="E177" s="4">
        <v>1.58</v>
      </c>
      <c r="F177" s="4">
        <v>2.13</v>
      </c>
      <c r="G177" s="4">
        <v>5.15</v>
      </c>
      <c r="H177" s="5">
        <f t="shared" si="2"/>
        <v>2.4178403755868549</v>
      </c>
      <c r="I177" s="6" t="str">
        <f>HYPERLINK("http://genome.ucsc.edu/cgi-bin/hgTracks?clade=vertebrate&amp;org=Zebrafish&amp;db=danRer7&amp;position=chr8:19881017-19884779","chr8:19881017-19884779")</f>
        <v>chr8:19881017-19884779</v>
      </c>
      <c r="J177" s="6" t="str">
        <f>HYPERLINK("http://www.ncbi.nlm.nih.gov/entrez/query.fcgi?db=gene&amp;cmd=Retrieve&amp;list_uids=553612","553612")</f>
        <v>553612</v>
      </c>
      <c r="K177" s="6" t="str">
        <f>HYPERLINK("http://www.ncbi.nlm.nih.gov/entrez/query.fcgi?cmd=Search&amp;db=Nucleotide&amp;term=NM_001020586","NM_001020586")</f>
        <v>NM_001020586</v>
      </c>
      <c r="L177" s="4" t="s">
        <v>78</v>
      </c>
      <c r="M177" s="4">
        <v>19881017</v>
      </c>
      <c r="N177" s="4">
        <v>19884779</v>
      </c>
      <c r="O177" s="4" t="s">
        <v>23</v>
      </c>
      <c r="P177" s="3" t="s">
        <v>65</v>
      </c>
      <c r="Q177" s="3" t="s">
        <v>66</v>
      </c>
      <c r="R177" s="3" t="s">
        <v>67</v>
      </c>
      <c r="S177" s="3" t="s">
        <v>68</v>
      </c>
      <c r="T177" s="3" t="s">
        <v>24</v>
      </c>
      <c r="U177" s="3" t="s">
        <v>25</v>
      </c>
      <c r="V177" s="4"/>
    </row>
    <row r="178" spans="1:22" customFormat="1" x14ac:dyDescent="0.15">
      <c r="A178" s="3" t="s">
        <v>1559</v>
      </c>
      <c r="B178" s="3" t="s">
        <v>1559</v>
      </c>
      <c r="C178" s="3" t="s">
        <v>1558</v>
      </c>
      <c r="D178" s="4">
        <v>1.756</v>
      </c>
      <c r="E178" s="4">
        <v>5.46</v>
      </c>
      <c r="F178" s="4">
        <v>6.06</v>
      </c>
      <c r="G178" s="4">
        <v>14.61</v>
      </c>
      <c r="H178" s="5">
        <f t="shared" si="2"/>
        <v>2.4108910891089108</v>
      </c>
      <c r="I178" s="6" t="str">
        <f>HYPERLINK("http://genome.ucsc.edu/cgi-bin/hgTracks?clade=vertebrate&amp;org=Zebrafish&amp;db=danRer7&amp;position=chr20:51608937-51644431","chr20:51608937-51644431")</f>
        <v>chr20:51608937-51644431</v>
      </c>
      <c r="J178" s="6" t="str">
        <f>HYPERLINK("http://www.ncbi.nlm.nih.gov/entrez/query.fcgi?db=gene&amp;cmd=Retrieve&amp;list_uids=790944","790944")</f>
        <v>790944</v>
      </c>
      <c r="K178" s="6" t="str">
        <f>HYPERLINK("http://www.ncbi.nlm.nih.gov/entrez/query.fcgi?cmd=Search&amp;db=Nucleotide&amp;term=NM_001080089","NM_001080089")</f>
        <v>NM_001080089</v>
      </c>
      <c r="L178" s="4" t="s">
        <v>96</v>
      </c>
      <c r="M178" s="4">
        <v>51608937</v>
      </c>
      <c r="N178" s="4">
        <v>51644431</v>
      </c>
      <c r="O178" s="4" t="s">
        <v>19</v>
      </c>
      <c r="P178" s="3" t="s">
        <v>65</v>
      </c>
      <c r="Q178" s="3" t="s">
        <v>66</v>
      </c>
      <c r="R178" s="3" t="s">
        <v>67</v>
      </c>
      <c r="S178" s="3" t="s">
        <v>68</v>
      </c>
      <c r="T178" s="3" t="s">
        <v>24</v>
      </c>
      <c r="U178" s="3" t="s">
        <v>25</v>
      </c>
      <c r="V178" s="4"/>
    </row>
    <row r="179" spans="1:22" customFormat="1" x14ac:dyDescent="0.15">
      <c r="A179" s="3" t="s">
        <v>1189</v>
      </c>
      <c r="B179" s="3" t="s">
        <v>1190</v>
      </c>
      <c r="C179" s="3" t="s">
        <v>1188</v>
      </c>
      <c r="D179" s="4">
        <v>1.054</v>
      </c>
      <c r="E179" s="4">
        <v>6.29</v>
      </c>
      <c r="F179" s="4">
        <v>4.33</v>
      </c>
      <c r="G179" s="4">
        <v>10.43</v>
      </c>
      <c r="H179" s="5">
        <f t="shared" si="2"/>
        <v>2.4087759815242493</v>
      </c>
      <c r="I179" s="6" t="str">
        <f>HYPERLINK("http://genome.ucsc.edu/cgi-bin/hgTracks?clade=vertebrate&amp;org=Zebrafish&amp;db=danRer7&amp;position=chr3:19738162-19786979","chr3:19738162-19786979")</f>
        <v>chr3:19738162-19786979</v>
      </c>
      <c r="J179" s="6" t="str">
        <f>HYPERLINK("http://www.ncbi.nlm.nih.gov/entrez/query.fcgi?db=gene&amp;cmd=Retrieve&amp;list_uids=751645","751645")</f>
        <v>751645</v>
      </c>
      <c r="K179" s="6" t="str">
        <f>HYPERLINK("http://www.ncbi.nlm.nih.gov/entrez/query.fcgi?cmd=Search&amp;db=Nucleotide&amp;term=NM_001045364","NM_001045364")</f>
        <v>NM_001045364</v>
      </c>
      <c r="L179" s="4" t="s">
        <v>47</v>
      </c>
      <c r="M179" s="4">
        <v>19738162</v>
      </c>
      <c r="N179" s="4">
        <v>19786979</v>
      </c>
      <c r="O179" s="4" t="s">
        <v>19</v>
      </c>
      <c r="P179" s="3" t="s">
        <v>42</v>
      </c>
      <c r="Q179" s="3" t="s">
        <v>43</v>
      </c>
      <c r="R179" s="3" t="s">
        <v>351</v>
      </c>
      <c r="S179" s="3" t="s">
        <v>352</v>
      </c>
      <c r="T179" s="3" t="s">
        <v>44</v>
      </c>
      <c r="U179" s="3" t="s">
        <v>45</v>
      </c>
      <c r="V179" s="4"/>
    </row>
    <row r="180" spans="1:22" customFormat="1" x14ac:dyDescent="0.15">
      <c r="A180" s="3" t="s">
        <v>1194</v>
      </c>
      <c r="B180" s="3" t="s">
        <v>1195</v>
      </c>
      <c r="C180" s="3" t="s">
        <v>1193</v>
      </c>
      <c r="D180" s="4">
        <v>1.3320000000000001</v>
      </c>
      <c r="E180" s="4">
        <v>138.47</v>
      </c>
      <c r="F180" s="4">
        <v>128.97</v>
      </c>
      <c r="G180" s="4">
        <v>309.55</v>
      </c>
      <c r="H180" s="5">
        <f t="shared" si="2"/>
        <v>2.4001705823059627</v>
      </c>
      <c r="I180" s="6" t="str">
        <f>HYPERLINK("http://genome.ucsc.edu/cgi-bin/hgTracks?clade=vertebrate&amp;org=Zebrafish&amp;db=danRer7&amp;position=chr25:487944-493305","chr25:487944-493305")</f>
        <v>chr25:487944-493305</v>
      </c>
      <c r="J180" s="6" t="str">
        <f>HYPERLINK("http://www.ncbi.nlm.nih.gov/entrez/query.fcgi?db=gene&amp;cmd=Retrieve&amp;list_uids=406266","406266")</f>
        <v>406266</v>
      </c>
      <c r="K180" s="6" t="str">
        <f>HYPERLINK("http://www.ncbi.nlm.nih.gov/entrez/query.fcgi?cmd=Search&amp;db=Nucleotide&amp;term=NM_212993","NM_212993")</f>
        <v>NM_212993</v>
      </c>
      <c r="L180" s="4" t="s">
        <v>60</v>
      </c>
      <c r="M180" s="4">
        <v>487944</v>
      </c>
      <c r="N180" s="4">
        <v>493305</v>
      </c>
      <c r="O180" s="4" t="s">
        <v>23</v>
      </c>
      <c r="P180" s="3" t="s">
        <v>986</v>
      </c>
      <c r="Q180" s="3" t="s">
        <v>987</v>
      </c>
      <c r="R180" s="3" t="s">
        <v>1196</v>
      </c>
      <c r="S180" s="3" t="s">
        <v>1197</v>
      </c>
      <c r="T180" s="3" t="s">
        <v>580</v>
      </c>
      <c r="U180" s="3" t="s">
        <v>581</v>
      </c>
      <c r="V180" s="4"/>
    </row>
    <row r="181" spans="1:22" customFormat="1" x14ac:dyDescent="0.15">
      <c r="A181" s="3" t="s">
        <v>1041</v>
      </c>
      <c r="B181" s="3" t="s">
        <v>1042</v>
      </c>
      <c r="C181" s="3" t="s">
        <v>1040</v>
      </c>
      <c r="D181" s="4">
        <v>2.8410000000000002</v>
      </c>
      <c r="E181" s="4">
        <v>5.8</v>
      </c>
      <c r="F181" s="4">
        <v>3.49</v>
      </c>
      <c r="G181" s="4">
        <v>8.3699999999999992</v>
      </c>
      <c r="H181" s="5">
        <f t="shared" si="2"/>
        <v>2.398280802292263</v>
      </c>
      <c r="I181" s="6" t="str">
        <f>HYPERLINK("http://genome.ucsc.edu/cgi-bin/hgTracks?clade=vertebrate&amp;org=Zebrafish&amp;db=danRer7&amp;position=chr3:58763008-58793078","chr3:58763008-58793078")</f>
        <v>chr3:58763008-58793078</v>
      </c>
      <c r="J181" s="6" t="str">
        <f>HYPERLINK("http://www.ncbi.nlm.nih.gov/entrez/query.fcgi?db=gene&amp;cmd=Retrieve&amp;list_uids=570510","570510")</f>
        <v>570510</v>
      </c>
      <c r="K181" s="6" t="str">
        <f>HYPERLINK("http://www.ncbi.nlm.nih.gov/entrez/query.fcgi?cmd=Search&amp;db=Nucleotide&amp;term=NM_001161654","NM_001161654")</f>
        <v>NM_001161654</v>
      </c>
      <c r="L181" s="4" t="s">
        <v>47</v>
      </c>
      <c r="M181" s="4">
        <v>58763008</v>
      </c>
      <c r="N181" s="4">
        <v>58793078</v>
      </c>
      <c r="O181" s="4" t="s">
        <v>23</v>
      </c>
      <c r="P181" s="4"/>
      <c r="Q181" s="4"/>
      <c r="R181" s="4"/>
      <c r="S181" s="4"/>
      <c r="T181" s="4"/>
      <c r="U181" s="4"/>
      <c r="V181" s="4"/>
    </row>
    <row r="182" spans="1:22" customFormat="1" x14ac:dyDescent="0.15">
      <c r="A182" s="7" t="s">
        <v>850</v>
      </c>
      <c r="B182" s="3" t="s">
        <v>851</v>
      </c>
      <c r="C182" s="3" t="s">
        <v>849</v>
      </c>
      <c r="D182" s="4">
        <v>1.53</v>
      </c>
      <c r="E182" s="4">
        <v>2.2599999999999998</v>
      </c>
      <c r="F182" s="4">
        <v>15.44</v>
      </c>
      <c r="G182" s="4">
        <v>36.86</v>
      </c>
      <c r="H182" s="5">
        <f t="shared" si="2"/>
        <v>2.3873056994818653</v>
      </c>
      <c r="I182" s="6" t="str">
        <f>HYPERLINK("http://genome.ucsc.edu/cgi-bin/hgTracks?clade=vertebrate&amp;org=Zebrafish&amp;db=danRer7&amp;position=chr1:52226931-52228460","chr1:52226931-52228460")</f>
        <v>chr1:52226931-52228460</v>
      </c>
      <c r="J182" s="6" t="str">
        <f>HYPERLINK("http://www.ncbi.nlm.nih.gov/entrez/query.fcgi?db=gene&amp;cmd=Retrieve&amp;list_uids=407086","407086")</f>
        <v>407086</v>
      </c>
      <c r="K182" s="6" t="str">
        <f>HYPERLINK("http://www.ncbi.nlm.nih.gov/entrez/query.fcgi?cmd=Search&amp;db=Nucleotide&amp;term=NM_213556","NM_213556")</f>
        <v>NM_213556</v>
      </c>
      <c r="L182" s="4" t="s">
        <v>63</v>
      </c>
      <c r="M182" s="4">
        <v>52226931</v>
      </c>
      <c r="N182" s="4">
        <v>52228460</v>
      </c>
      <c r="O182" s="4" t="s">
        <v>19</v>
      </c>
      <c r="P182" s="3" t="s">
        <v>852</v>
      </c>
      <c r="Q182" s="3" t="s">
        <v>853</v>
      </c>
      <c r="R182" s="3" t="s">
        <v>61</v>
      </c>
      <c r="S182" s="3" t="s">
        <v>62</v>
      </c>
      <c r="T182" s="3" t="s">
        <v>259</v>
      </c>
      <c r="U182" s="3" t="s">
        <v>260</v>
      </c>
      <c r="V182" s="4"/>
    </row>
    <row r="183" spans="1:22" customFormat="1" x14ac:dyDescent="0.15">
      <c r="A183" s="3" t="s">
        <v>135</v>
      </c>
      <c r="B183" s="3" t="s">
        <v>136</v>
      </c>
      <c r="C183" s="3" t="s">
        <v>134</v>
      </c>
      <c r="D183" s="4">
        <v>8.1969999999999992</v>
      </c>
      <c r="E183" s="4">
        <v>1.69</v>
      </c>
      <c r="F183" s="4">
        <v>2.95</v>
      </c>
      <c r="G183" s="4">
        <v>7.02</v>
      </c>
      <c r="H183" s="5">
        <f t="shared" si="2"/>
        <v>2.3796610169491523</v>
      </c>
      <c r="I183" s="6" t="str">
        <f>HYPERLINK("http://genome.ucsc.edu/cgi-bin/hgTracks?clade=vertebrate&amp;org=Zebrafish&amp;db=danRer7&amp;position=chr5:31818027-31848085","chr5:31818027-31848085")</f>
        <v>chr5:31818027-31848085</v>
      </c>
      <c r="J183" s="6" t="str">
        <f>HYPERLINK("http://www.ncbi.nlm.nih.gov/entrez/query.fcgi?db=gene&amp;cmd=Retrieve&amp;list_uids=569571","569571")</f>
        <v>569571</v>
      </c>
      <c r="K183" s="6" t="str">
        <f>HYPERLINK("http://www.ncbi.nlm.nih.gov/entrez/query.fcgi?cmd=Search&amp;db=Nucleotide&amp;term=NM_001126429","NM_001126429")</f>
        <v>NM_001126429</v>
      </c>
      <c r="L183" s="4" t="s">
        <v>29</v>
      </c>
      <c r="M183" s="4">
        <v>31818027</v>
      </c>
      <c r="N183" s="4">
        <v>31848085</v>
      </c>
      <c r="O183" s="4" t="s">
        <v>23</v>
      </c>
      <c r="P183" s="4"/>
      <c r="Q183" s="4"/>
      <c r="R183" s="4"/>
      <c r="S183" s="4"/>
      <c r="T183" s="4"/>
      <c r="U183" s="4"/>
      <c r="V183" s="4"/>
    </row>
    <row r="184" spans="1:22" customFormat="1" x14ac:dyDescent="0.15">
      <c r="A184" s="3" t="s">
        <v>1498</v>
      </c>
      <c r="B184" s="3" t="s">
        <v>1498</v>
      </c>
      <c r="C184" s="3" t="s">
        <v>1497</v>
      </c>
      <c r="D184" s="4">
        <v>1.405</v>
      </c>
      <c r="E184" s="4">
        <v>33.049999999999997</v>
      </c>
      <c r="F184" s="4">
        <v>35.47</v>
      </c>
      <c r="G184" s="4">
        <v>84.22</v>
      </c>
      <c r="H184" s="5">
        <f t="shared" si="2"/>
        <v>2.3744009021708488</v>
      </c>
      <c r="I184" s="6" t="str">
        <f>HYPERLINK("http://genome.ucsc.edu/cgi-bin/hgTracks?clade=vertebrate&amp;org=Zebrafish&amp;db=danRer7&amp;position=chr22:11885440-11889698","chr22:11885440-11889698")</f>
        <v>chr22:11885440-11889698</v>
      </c>
      <c r="J184" s="6" t="str">
        <f>HYPERLINK("http://www.ncbi.nlm.nih.gov/entrez/query.fcgi?db=gene&amp;cmd=Retrieve&amp;list_uids=321502","321502")</f>
        <v>321502</v>
      </c>
      <c r="K184" s="6" t="str">
        <f>HYPERLINK("http://www.ncbi.nlm.nih.gov/entrez/query.fcgi?cmd=Search&amp;db=Nucleotide&amp;term=NM_001199952","NM_001199952")</f>
        <v>NM_001199952</v>
      </c>
      <c r="L184" s="4" t="s">
        <v>103</v>
      </c>
      <c r="M184" s="4">
        <v>11885440</v>
      </c>
      <c r="N184" s="4">
        <v>11889698</v>
      </c>
      <c r="O184" s="4" t="s">
        <v>23</v>
      </c>
      <c r="P184" s="4"/>
      <c r="Q184" s="4"/>
      <c r="R184" s="4"/>
      <c r="S184" s="4"/>
      <c r="T184" s="4"/>
      <c r="U184" s="4"/>
      <c r="V184" s="4"/>
    </row>
    <row r="185" spans="1:22" customFormat="1" x14ac:dyDescent="0.15">
      <c r="A185" s="3" t="s">
        <v>1614</v>
      </c>
      <c r="B185" s="3" t="s">
        <v>1614</v>
      </c>
      <c r="C185" s="3" t="s">
        <v>1613</v>
      </c>
      <c r="D185" s="4">
        <v>2.129</v>
      </c>
      <c r="E185" s="4">
        <v>4.4800000000000004</v>
      </c>
      <c r="F185" s="4">
        <v>3.94</v>
      </c>
      <c r="G185" s="4">
        <v>9.35</v>
      </c>
      <c r="H185" s="5">
        <f t="shared" si="2"/>
        <v>2.3730964467005076</v>
      </c>
      <c r="I185" s="6" t="str">
        <f>HYPERLINK("http://genome.ucsc.edu/cgi-bin/hgTracks?clade=vertebrate&amp;org=Zebrafish&amp;db=danRer7&amp;position=chr11:46406692-46410167","chr11:46406692-46410167")</f>
        <v>chr11:46406692-46410167</v>
      </c>
      <c r="J185" s="6" t="str">
        <f>HYPERLINK("http://www.ncbi.nlm.nih.gov/entrez/query.fcgi?db=gene&amp;cmd=Retrieve&amp;list_uids=436917","436917")</f>
        <v>436917</v>
      </c>
      <c r="K185" s="6" t="str">
        <f>HYPERLINK("http://www.ncbi.nlm.nih.gov/entrez/query.fcgi?cmd=Search&amp;db=Nucleotide&amp;term=NM_001002644","NM_001002644")</f>
        <v>NM_001002644</v>
      </c>
      <c r="L185" s="4" t="s">
        <v>36</v>
      </c>
      <c r="M185" s="4">
        <v>46406692</v>
      </c>
      <c r="N185" s="4">
        <v>46410167</v>
      </c>
      <c r="O185" s="4" t="s">
        <v>23</v>
      </c>
      <c r="P185" s="3" t="s">
        <v>65</v>
      </c>
      <c r="Q185" s="3" t="s">
        <v>66</v>
      </c>
      <c r="R185" s="3" t="s">
        <v>67</v>
      </c>
      <c r="S185" s="3" t="s">
        <v>68</v>
      </c>
      <c r="T185" s="3" t="s">
        <v>24</v>
      </c>
      <c r="U185" s="3" t="s">
        <v>25</v>
      </c>
      <c r="V185" s="4"/>
    </row>
    <row r="186" spans="1:22" customFormat="1" x14ac:dyDescent="0.15">
      <c r="A186" s="3" t="s">
        <v>1599</v>
      </c>
      <c r="B186" s="3" t="s">
        <v>1599</v>
      </c>
      <c r="C186" s="3" t="s">
        <v>1598</v>
      </c>
      <c r="D186" s="4">
        <v>7.7370000000000001</v>
      </c>
      <c r="E186" s="4">
        <v>3.1</v>
      </c>
      <c r="F186" s="4">
        <v>2.58</v>
      </c>
      <c r="G186" s="4">
        <v>6.12</v>
      </c>
      <c r="H186" s="5">
        <f t="shared" si="2"/>
        <v>2.3720930232558137</v>
      </c>
      <c r="I186" s="6" t="str">
        <f>HYPERLINK("http://genome.ucsc.edu/cgi-bin/hgTracks?clade=vertebrate&amp;org=Zebrafish&amp;db=danRer7&amp;position=chr1:28142182-28159022","chr1:28142182-28159022")</f>
        <v>chr1:28142182-28159022</v>
      </c>
      <c r="J186" s="6" t="str">
        <f>HYPERLINK("http://www.ncbi.nlm.nih.gov/entrez/query.fcgi?db=gene&amp;cmd=Retrieve&amp;list_uids=393285","393285")</f>
        <v>393285</v>
      </c>
      <c r="K186" s="6" t="str">
        <f>HYPERLINK("http://www.ncbi.nlm.nih.gov/entrez/query.fcgi?cmd=Search&amp;db=Nucleotide&amp;term=NM_200315","NM_200315")</f>
        <v>NM_200315</v>
      </c>
      <c r="L186" s="4" t="s">
        <v>63</v>
      </c>
      <c r="M186" s="4">
        <v>28142182</v>
      </c>
      <c r="N186" s="4">
        <v>28159022</v>
      </c>
      <c r="O186" s="4" t="s">
        <v>23</v>
      </c>
      <c r="P186" s="4"/>
      <c r="Q186" s="4"/>
      <c r="R186" s="3" t="s">
        <v>67</v>
      </c>
      <c r="S186" s="3" t="s">
        <v>68</v>
      </c>
      <c r="T186" s="3" t="s">
        <v>522</v>
      </c>
      <c r="U186" s="3" t="s">
        <v>523</v>
      </c>
      <c r="V186" s="4"/>
    </row>
    <row r="187" spans="1:22" customFormat="1" x14ac:dyDescent="0.15">
      <c r="A187" s="3" t="s">
        <v>1333</v>
      </c>
      <c r="B187" s="3" t="s">
        <v>1334</v>
      </c>
      <c r="C187" s="3" t="s">
        <v>1332</v>
      </c>
      <c r="D187" s="4">
        <v>5.359</v>
      </c>
      <c r="E187" s="4">
        <v>11.24</v>
      </c>
      <c r="F187" s="4">
        <v>11.25</v>
      </c>
      <c r="G187" s="4">
        <v>26.66</v>
      </c>
      <c r="H187" s="5">
        <f t="shared" si="2"/>
        <v>2.3697777777777778</v>
      </c>
      <c r="I187" s="6" t="str">
        <f>HYPERLINK("http://genome.ucsc.edu/cgi-bin/hgTracks?clade=vertebrate&amp;org=Zebrafish&amp;db=danRer7&amp;position=chr4:1459355-1476952","chr4:1459355-1476952")</f>
        <v>chr4:1459355-1476952</v>
      </c>
      <c r="J187" s="6" t="str">
        <f>HYPERLINK("http://www.ncbi.nlm.nih.gov/entrez/query.fcgi?db=gene&amp;cmd=Retrieve&amp;list_uids=566537","566537")</f>
        <v>566537</v>
      </c>
      <c r="K187" s="6" t="str">
        <f>HYPERLINK("http://www.ncbi.nlm.nih.gov/entrez/query.fcgi?cmd=Search&amp;db=Nucleotide&amp;term=NM_001045104","NM_001045104")</f>
        <v>NM_001045104</v>
      </c>
      <c r="L187" s="4" t="s">
        <v>77</v>
      </c>
      <c r="M187" s="4">
        <v>1459355</v>
      </c>
      <c r="N187" s="4">
        <v>1476952</v>
      </c>
      <c r="O187" s="4" t="s">
        <v>23</v>
      </c>
      <c r="P187" s="3" t="s">
        <v>1335</v>
      </c>
      <c r="Q187" s="3" t="s">
        <v>1336</v>
      </c>
      <c r="R187" s="3" t="s">
        <v>101</v>
      </c>
      <c r="S187" s="3" t="s">
        <v>102</v>
      </c>
      <c r="T187" s="3" t="s">
        <v>1310</v>
      </c>
      <c r="U187" s="3" t="s">
        <v>1311</v>
      </c>
      <c r="V187" s="4"/>
    </row>
    <row r="188" spans="1:22" customFormat="1" x14ac:dyDescent="0.15">
      <c r="A188" s="3" t="s">
        <v>335</v>
      </c>
      <c r="B188" s="3" t="s">
        <v>336</v>
      </c>
      <c r="C188" s="3" t="s">
        <v>334</v>
      </c>
      <c r="D188" s="4">
        <v>3.5939999999999999</v>
      </c>
      <c r="E188" s="4">
        <v>3.52</v>
      </c>
      <c r="F188" s="4">
        <v>3.59</v>
      </c>
      <c r="G188" s="4">
        <v>8.49</v>
      </c>
      <c r="H188" s="5">
        <f t="shared" si="2"/>
        <v>2.3649025069637886</v>
      </c>
      <c r="I188" s="6" t="str">
        <f>HYPERLINK("http://genome.ucsc.edu/cgi-bin/hgTracks?clade=vertebrate&amp;org=Zebrafish&amp;db=danRer7&amp;position=chr23:25261113-25272611","chr23:25261113-25272611")</f>
        <v>chr23:25261113-25272611</v>
      </c>
      <c r="J188" s="6" t="str">
        <f>HYPERLINK("http://www.ncbi.nlm.nih.gov/entrez/query.fcgi?db=gene&amp;cmd=Retrieve&amp;list_uids=492763","492763")</f>
        <v>492763</v>
      </c>
      <c r="K188" s="6" t="str">
        <f>HYPERLINK("http://www.ncbi.nlm.nih.gov/entrez/query.fcgi?cmd=Search&amp;db=Nucleotide&amp;term=NM_001007404","NM_001007404")</f>
        <v>NM_001007404</v>
      </c>
      <c r="L188" s="4" t="s">
        <v>80</v>
      </c>
      <c r="M188" s="4">
        <v>25261113</v>
      </c>
      <c r="N188" s="4">
        <v>25272611</v>
      </c>
      <c r="O188" s="4" t="s">
        <v>23</v>
      </c>
      <c r="P188" s="3" t="s">
        <v>332</v>
      </c>
      <c r="Q188" s="3" t="s">
        <v>333</v>
      </c>
      <c r="R188" s="3" t="s">
        <v>137</v>
      </c>
      <c r="S188" s="3" t="s">
        <v>138</v>
      </c>
      <c r="T188" s="3" t="s">
        <v>330</v>
      </c>
      <c r="U188" s="3" t="s">
        <v>331</v>
      </c>
      <c r="V188" s="4"/>
    </row>
    <row r="189" spans="1:22" customFormat="1" x14ac:dyDescent="0.15">
      <c r="A189" s="3" t="s">
        <v>1322</v>
      </c>
      <c r="B189" s="3" t="s">
        <v>1323</v>
      </c>
      <c r="C189" s="3" t="s">
        <v>1321</v>
      </c>
      <c r="D189" s="4">
        <v>1.647</v>
      </c>
      <c r="E189" s="4">
        <v>6.24</v>
      </c>
      <c r="F189" s="4">
        <v>3.96</v>
      </c>
      <c r="G189" s="4">
        <v>9.36</v>
      </c>
      <c r="H189" s="5">
        <f t="shared" si="2"/>
        <v>2.3636363636363633</v>
      </c>
      <c r="I189" s="6" t="str">
        <f>HYPERLINK("http://genome.ucsc.edu/cgi-bin/hgTracks?clade=vertebrate&amp;org=Zebrafish&amp;db=danRer7&amp;position=chr15:12160272-12183720","chr15:12160272-12183720")</f>
        <v>chr15:12160272-12183720</v>
      </c>
      <c r="J189" s="6" t="str">
        <f>HYPERLINK("http://www.ncbi.nlm.nih.gov/entrez/query.fcgi?db=gene&amp;cmd=Retrieve&amp;list_uids=100002129","100002129")</f>
        <v>100002129</v>
      </c>
      <c r="K189" s="6" t="str">
        <f>HYPERLINK("http://www.ncbi.nlm.nih.gov/entrez/query.fcgi?cmd=Search&amp;db=Nucleotide&amp;term=NM_001190755","NM_001190755")</f>
        <v>NM_001190755</v>
      </c>
      <c r="L189" s="4" t="s">
        <v>18</v>
      </c>
      <c r="M189" s="4">
        <v>12160272</v>
      </c>
      <c r="N189" s="4">
        <v>12183720</v>
      </c>
      <c r="O189" s="4" t="s">
        <v>19</v>
      </c>
      <c r="P189" s="3" t="s">
        <v>1312</v>
      </c>
      <c r="Q189" s="3" t="s">
        <v>1313</v>
      </c>
      <c r="R189" s="3" t="s">
        <v>81</v>
      </c>
      <c r="S189" s="3" t="s">
        <v>82</v>
      </c>
      <c r="T189" s="3" t="s">
        <v>1314</v>
      </c>
      <c r="U189" s="3" t="s">
        <v>1315</v>
      </c>
      <c r="V189" s="4"/>
    </row>
    <row r="190" spans="1:22" customFormat="1" x14ac:dyDescent="0.15">
      <c r="A190" s="3" t="s">
        <v>345</v>
      </c>
      <c r="B190" s="3" t="s">
        <v>346</v>
      </c>
      <c r="C190" s="3" t="s">
        <v>344</v>
      </c>
      <c r="D190" s="4">
        <v>1.883</v>
      </c>
      <c r="E190" s="4">
        <v>1.65</v>
      </c>
      <c r="F190" s="4">
        <v>1.89</v>
      </c>
      <c r="G190" s="4">
        <v>4.46</v>
      </c>
      <c r="H190" s="5">
        <f t="shared" si="2"/>
        <v>2.35978835978836</v>
      </c>
      <c r="I190" s="6" t="str">
        <f>HYPERLINK("http://genome.ucsc.edu/cgi-bin/hgTracks?clade=vertebrate&amp;org=Zebrafish&amp;db=danRer7&amp;position=chr5:27816113-27826412","chr5:27816113-27826412")</f>
        <v>chr5:27816113-27826412</v>
      </c>
      <c r="J190" s="6" t="str">
        <f>HYPERLINK("http://www.ncbi.nlm.nih.gov/entrez/query.fcgi?db=gene&amp;cmd=Retrieve&amp;list_uids=565477","565477")</f>
        <v>565477</v>
      </c>
      <c r="K190" s="6" t="str">
        <f>HYPERLINK("http://www.ncbi.nlm.nih.gov/entrez/query.fcgi?cmd=Search&amp;db=Nucleotide&amp;term=NM_001098182","NM_001098182")</f>
        <v>NM_001098182</v>
      </c>
      <c r="L190" s="4" t="s">
        <v>29</v>
      </c>
      <c r="M190" s="4">
        <v>27816113</v>
      </c>
      <c r="N190" s="4">
        <v>27826412</v>
      </c>
      <c r="O190" s="4" t="s">
        <v>19</v>
      </c>
      <c r="P190" s="4"/>
      <c r="Q190" s="4"/>
      <c r="R190" s="3" t="s">
        <v>58</v>
      </c>
      <c r="S190" s="3" t="s">
        <v>59</v>
      </c>
      <c r="T190" s="4"/>
      <c r="U190" s="4"/>
      <c r="V190" s="4"/>
    </row>
    <row r="191" spans="1:22" customFormat="1" x14ac:dyDescent="0.15">
      <c r="A191" s="3" t="s">
        <v>438</v>
      </c>
      <c r="B191" s="3" t="s">
        <v>439</v>
      </c>
      <c r="C191" s="3" t="s">
        <v>437</v>
      </c>
      <c r="D191" s="4">
        <v>4.1390000000000002</v>
      </c>
      <c r="E191" s="4">
        <v>18.82</v>
      </c>
      <c r="F191" s="4">
        <v>17.75</v>
      </c>
      <c r="G191" s="4">
        <v>41.88</v>
      </c>
      <c r="H191" s="5">
        <f t="shared" si="2"/>
        <v>2.3594366197183101</v>
      </c>
      <c r="I191" s="6" t="str">
        <f>HYPERLINK("http://genome.ucsc.edu/cgi-bin/hgTracks?clade=vertebrate&amp;org=Zebrafish&amp;db=danRer7&amp;position=chr13:31028000-31041823","chr13:31028000-31041823")</f>
        <v>chr13:31028000-31041823</v>
      </c>
      <c r="J191" s="6" t="str">
        <f>HYPERLINK("http://www.ncbi.nlm.nih.gov/entrez/query.fcgi?db=gene&amp;cmd=Retrieve&amp;list_uids=352944","352944")</f>
        <v>352944</v>
      </c>
      <c r="K191" s="6" t="str">
        <f>HYPERLINK("http://www.ncbi.nlm.nih.gov/entrez/query.fcgi?cmd=Search&amp;db=Nucleotide&amp;term=NM_178307","NM_178307")</f>
        <v>NM_178307</v>
      </c>
      <c r="L191" s="4" t="s">
        <v>74</v>
      </c>
      <c r="M191" s="4">
        <v>31028000</v>
      </c>
      <c r="N191" s="4">
        <v>31041823</v>
      </c>
      <c r="O191" s="4" t="s">
        <v>23</v>
      </c>
      <c r="P191" s="3" t="s">
        <v>440</v>
      </c>
      <c r="Q191" s="3" t="s">
        <v>441</v>
      </c>
      <c r="R191" s="3" t="s">
        <v>20</v>
      </c>
      <c r="S191" s="3" t="s">
        <v>21</v>
      </c>
      <c r="T191" s="3" t="s">
        <v>442</v>
      </c>
      <c r="U191" s="3" t="s">
        <v>443</v>
      </c>
      <c r="V191" s="4"/>
    </row>
    <row r="192" spans="1:22" customFormat="1" x14ac:dyDescent="0.15">
      <c r="A192" s="3" t="s">
        <v>1362</v>
      </c>
      <c r="B192" s="3" t="s">
        <v>1363</v>
      </c>
      <c r="C192" s="3" t="s">
        <v>1361</v>
      </c>
      <c r="D192" s="4">
        <v>3.4950000000000001</v>
      </c>
      <c r="E192" s="4">
        <v>3.2</v>
      </c>
      <c r="F192" s="4">
        <v>10.82</v>
      </c>
      <c r="G192" s="4">
        <v>25.52</v>
      </c>
      <c r="H192" s="5">
        <f t="shared" si="2"/>
        <v>2.3585951940850278</v>
      </c>
      <c r="I192" s="6" t="str">
        <f>HYPERLINK("http://genome.ucsc.edu/cgi-bin/hgTracks?clade=vertebrate&amp;org=Zebrafish&amp;db=danRer7&amp;position=chr3:58237025-58239847","chr3:58237025-58239847")</f>
        <v>chr3:58237025-58239847</v>
      </c>
      <c r="J192" s="6" t="str">
        <f>HYPERLINK("http://www.ncbi.nlm.nih.gov/entrez/query.fcgi?db=gene&amp;cmd=Retrieve&amp;list_uids=335409","335409")</f>
        <v>335409</v>
      </c>
      <c r="K192" s="6" t="str">
        <f>HYPERLINK("http://www.ncbi.nlm.nih.gov/entrez/query.fcgi?cmd=Search&amp;db=Nucleotide&amp;term=NM_199950","NM_199950")</f>
        <v>NM_199950</v>
      </c>
      <c r="L192" s="4" t="s">
        <v>47</v>
      </c>
      <c r="M192" s="4">
        <v>58237025</v>
      </c>
      <c r="N192" s="4">
        <v>58239847</v>
      </c>
      <c r="O192" s="4" t="s">
        <v>19</v>
      </c>
      <c r="P192" s="3" t="s">
        <v>240</v>
      </c>
      <c r="Q192" s="3" t="s">
        <v>241</v>
      </c>
      <c r="R192" s="3" t="s">
        <v>67</v>
      </c>
      <c r="S192" s="3" t="s">
        <v>68</v>
      </c>
      <c r="T192" s="4"/>
      <c r="U192" s="4"/>
      <c r="V192" s="4"/>
    </row>
    <row r="193" spans="1:22" customFormat="1" x14ac:dyDescent="0.15">
      <c r="A193" s="3" t="s">
        <v>1543</v>
      </c>
      <c r="B193" s="3" t="s">
        <v>1543</v>
      </c>
      <c r="C193" s="3" t="s">
        <v>1542</v>
      </c>
      <c r="D193" s="4">
        <v>0.48099999999999998</v>
      </c>
      <c r="E193" s="4">
        <v>27.22</v>
      </c>
      <c r="F193" s="4">
        <v>31.11</v>
      </c>
      <c r="G193" s="4">
        <v>73.28</v>
      </c>
      <c r="H193" s="5">
        <f t="shared" si="2"/>
        <v>2.3555126968820317</v>
      </c>
      <c r="I193" s="6" t="str">
        <f>HYPERLINK("http://genome.ucsc.edu/cgi-bin/hgTracks?clade=vertebrate&amp;org=Zebrafish&amp;db=danRer7&amp;position=chr25:34826997-34835528","chr25:34826997-34835528")</f>
        <v>chr25:34826997-34835528</v>
      </c>
      <c r="J193" s="6" t="str">
        <f>HYPERLINK("http://www.ncbi.nlm.nih.gov/entrez/query.fcgi?db=gene&amp;cmd=Retrieve&amp;list_uids=677743","677743")</f>
        <v>677743</v>
      </c>
      <c r="K193" s="6" t="str">
        <f>HYPERLINK("http://www.ncbi.nlm.nih.gov/entrez/query.fcgi?cmd=Search&amp;db=Nucleotide&amp;term=NM_001172680","NM_001172680")</f>
        <v>NM_001172680</v>
      </c>
      <c r="L193" s="4" t="s">
        <v>60</v>
      </c>
      <c r="M193" s="4">
        <v>34826997</v>
      </c>
      <c r="N193" s="4">
        <v>34835528</v>
      </c>
      <c r="O193" s="4" t="s">
        <v>19</v>
      </c>
      <c r="P193" s="3" t="s">
        <v>1544</v>
      </c>
      <c r="Q193" s="3" t="s">
        <v>1545</v>
      </c>
      <c r="R193" s="3" t="s">
        <v>988</v>
      </c>
      <c r="S193" s="3" t="s">
        <v>989</v>
      </c>
      <c r="T193" s="3" t="s">
        <v>1516</v>
      </c>
      <c r="U193" s="3" t="s">
        <v>1517</v>
      </c>
      <c r="V193" s="4"/>
    </row>
    <row r="194" spans="1:22" customFormat="1" x14ac:dyDescent="0.15">
      <c r="A194" s="3" t="s">
        <v>630</v>
      </c>
      <c r="B194" s="3" t="s">
        <v>631</v>
      </c>
      <c r="C194" s="3" t="s">
        <v>629</v>
      </c>
      <c r="D194" s="4">
        <v>7.8689999999999998</v>
      </c>
      <c r="E194" s="4">
        <v>12.88</v>
      </c>
      <c r="F194" s="4">
        <v>6.92</v>
      </c>
      <c r="G194" s="4">
        <v>16.3</v>
      </c>
      <c r="H194" s="5">
        <f t="shared" si="2"/>
        <v>2.355491329479769</v>
      </c>
      <c r="I194" s="6" t="str">
        <f>HYPERLINK("http://genome.ucsc.edu/cgi-bin/hgTracks?clade=vertebrate&amp;org=Zebrafish&amp;db=danRer7&amp;position=chr7:72373308-72442252","chr7:72373308-72442252")</f>
        <v>chr7:72373308-72442252</v>
      </c>
      <c r="J194" s="6" t="str">
        <f>HYPERLINK("http://www.ncbi.nlm.nih.gov/entrez/query.fcgi?db=gene&amp;cmd=Retrieve&amp;list_uids=100216326","100216326")</f>
        <v>100216326</v>
      </c>
      <c r="K194" s="6" t="str">
        <f>HYPERLINK("http://www.ncbi.nlm.nih.gov/entrez/query.fcgi?cmd=Search&amp;db=Nucleotide&amp;term=NM_001190308","NM_001190308")</f>
        <v>NM_001190308</v>
      </c>
      <c r="L194" s="4" t="s">
        <v>85</v>
      </c>
      <c r="M194" s="4">
        <v>72373308</v>
      </c>
      <c r="N194" s="4">
        <v>72442252</v>
      </c>
      <c r="O194" s="4" t="s">
        <v>23</v>
      </c>
      <c r="P194" s="3" t="s">
        <v>632</v>
      </c>
      <c r="Q194" s="3" t="s">
        <v>633</v>
      </c>
      <c r="R194" s="3" t="s">
        <v>75</v>
      </c>
      <c r="S194" s="3" t="s">
        <v>76</v>
      </c>
      <c r="T194" s="3" t="s">
        <v>634</v>
      </c>
      <c r="U194" s="3" t="s">
        <v>635</v>
      </c>
      <c r="V194" s="4"/>
    </row>
    <row r="195" spans="1:22" customFormat="1" x14ac:dyDescent="0.15">
      <c r="A195" s="3" t="s">
        <v>1239</v>
      </c>
      <c r="B195" s="3" t="s">
        <v>1240</v>
      </c>
      <c r="C195" s="3" t="s">
        <v>1238</v>
      </c>
      <c r="D195" s="4">
        <v>5.1559999999999997</v>
      </c>
      <c r="E195" s="4">
        <v>11.21</v>
      </c>
      <c r="F195" s="4">
        <v>13.98</v>
      </c>
      <c r="G195" s="4">
        <v>32.880000000000003</v>
      </c>
      <c r="H195" s="5">
        <f t="shared" ref="H195:H258" si="3">G195/F195</f>
        <v>2.351931330472103</v>
      </c>
      <c r="I195" s="6" t="str">
        <f>HYPERLINK("http://genome.ucsc.edu/cgi-bin/hgTracks?clade=vertebrate&amp;org=Zebrafish&amp;db=danRer7&amp;position=chr20:32263286-32269168","chr20:32263286-32269168")</f>
        <v>chr20:32263286-32269168</v>
      </c>
      <c r="J195" s="6" t="str">
        <f>HYPERLINK("http://www.ncbi.nlm.nih.gov/entrez/query.fcgi?db=gene&amp;cmd=Retrieve&amp;list_uids=436933","436933")</f>
        <v>436933</v>
      </c>
      <c r="K195" s="6" t="str">
        <f>HYPERLINK("http://www.ncbi.nlm.nih.gov/entrez/query.fcgi?cmd=Search&amp;db=Nucleotide&amp;term=NM_001002660","NM_001002660")</f>
        <v>NM_001002660</v>
      </c>
      <c r="L195" s="4" t="s">
        <v>96</v>
      </c>
      <c r="M195" s="4">
        <v>32263286</v>
      </c>
      <c r="N195" s="4">
        <v>32269168</v>
      </c>
      <c r="O195" s="4" t="s">
        <v>23</v>
      </c>
      <c r="P195" s="3" t="s">
        <v>1241</v>
      </c>
      <c r="Q195" s="3" t="s">
        <v>1242</v>
      </c>
      <c r="R195" s="3" t="s">
        <v>61</v>
      </c>
      <c r="S195" s="3" t="s">
        <v>62</v>
      </c>
      <c r="T195" s="3" t="s">
        <v>24</v>
      </c>
      <c r="U195" s="3" t="s">
        <v>25</v>
      </c>
      <c r="V195" s="4"/>
    </row>
    <row r="196" spans="1:22" customFormat="1" x14ac:dyDescent="0.15">
      <c r="A196" s="3" t="s">
        <v>1527</v>
      </c>
      <c r="B196" s="3" t="s">
        <v>1527</v>
      </c>
      <c r="C196" s="3" t="s">
        <v>1526</v>
      </c>
      <c r="D196" s="4">
        <v>1.0489999999999999</v>
      </c>
      <c r="E196" s="4">
        <v>6.34</v>
      </c>
      <c r="F196" s="4">
        <v>4.12</v>
      </c>
      <c r="G196" s="4">
        <v>9.68</v>
      </c>
      <c r="H196" s="5">
        <f t="shared" si="3"/>
        <v>2.349514563106796</v>
      </c>
      <c r="I196" s="6" t="str">
        <f>HYPERLINK("http://genome.ucsc.edu/cgi-bin/hgTracks?clade=vertebrate&amp;org=Zebrafish&amp;db=danRer7&amp;position=chr16:39374535-39378891","chr16:39374535-39378891")</f>
        <v>chr16:39374535-39378891</v>
      </c>
      <c r="J196" s="6" t="str">
        <f>HYPERLINK("http://www.ncbi.nlm.nih.gov/entrez/query.fcgi?db=gene&amp;cmd=Retrieve&amp;list_uids=550378","550378")</f>
        <v>550378</v>
      </c>
      <c r="K196" s="6" t="str">
        <f>HYPERLINK("http://www.ncbi.nlm.nih.gov/entrez/query.fcgi?cmd=Search&amp;db=Nucleotide&amp;term=NM_001017683","NM_001017683")</f>
        <v>NM_001017683</v>
      </c>
      <c r="L196" s="4" t="s">
        <v>71</v>
      </c>
      <c r="M196" s="4">
        <v>39374535</v>
      </c>
      <c r="N196" s="4">
        <v>39378891</v>
      </c>
      <c r="O196" s="4" t="s">
        <v>23</v>
      </c>
      <c r="P196" s="3" t="s">
        <v>1171</v>
      </c>
      <c r="Q196" s="3" t="s">
        <v>1172</v>
      </c>
      <c r="R196" s="4"/>
      <c r="S196" s="4"/>
      <c r="T196" s="3" t="s">
        <v>44</v>
      </c>
      <c r="U196" s="3" t="s">
        <v>45</v>
      </c>
      <c r="V196" s="4"/>
    </row>
    <row r="197" spans="1:22" customFormat="1" x14ac:dyDescent="0.15">
      <c r="A197" s="3" t="s">
        <v>276</v>
      </c>
      <c r="B197" s="3" t="s">
        <v>276</v>
      </c>
      <c r="C197" s="3" t="s">
        <v>275</v>
      </c>
      <c r="D197" s="4">
        <v>2.149</v>
      </c>
      <c r="E197" s="4">
        <v>3891.32</v>
      </c>
      <c r="F197" s="4">
        <v>3120.24</v>
      </c>
      <c r="G197" s="4">
        <v>7317.51</v>
      </c>
      <c r="H197" s="5">
        <f t="shared" si="3"/>
        <v>2.3451753711252983</v>
      </c>
      <c r="I197" s="6" t="str">
        <f>HYPERLINK("http://genome.ucsc.edu/cgi-bin/hgTracks?clade=vertebrate&amp;org=Zebrafish&amp;db=danRer7&amp;position=chr3:40520889-40524560","chr3:40520889-40524560")</f>
        <v>chr3:40520889-40524560</v>
      </c>
      <c r="J197" s="6" t="str">
        <f>HYPERLINK("http://www.ncbi.nlm.nih.gov/entrez/query.fcgi?db=gene&amp;cmd=Retrieve&amp;list_uids=57935","57935")</f>
        <v>57935</v>
      </c>
      <c r="K197" s="6" t="str">
        <f>HYPERLINK("http://www.ncbi.nlm.nih.gov/entrez/query.fcgi?cmd=Search&amp;db=Nucleotide&amp;term=NM_181601","NM_181601")</f>
        <v>NM_181601</v>
      </c>
      <c r="L197" s="4" t="s">
        <v>47</v>
      </c>
      <c r="M197" s="4">
        <v>40520889</v>
      </c>
      <c r="N197" s="4">
        <v>40524560</v>
      </c>
      <c r="O197" s="4" t="s">
        <v>19</v>
      </c>
      <c r="P197" s="4"/>
      <c r="Q197" s="4"/>
      <c r="R197" s="3" t="s">
        <v>128</v>
      </c>
      <c r="S197" s="3" t="s">
        <v>129</v>
      </c>
      <c r="T197" s="3" t="s">
        <v>130</v>
      </c>
      <c r="U197" s="3" t="s">
        <v>131</v>
      </c>
      <c r="V197" s="4"/>
    </row>
    <row r="198" spans="1:22" customFormat="1" x14ac:dyDescent="0.15">
      <c r="A198" s="3" t="s">
        <v>1531</v>
      </c>
      <c r="B198" s="3" t="s">
        <v>1531</v>
      </c>
      <c r="C198" s="3" t="s">
        <v>1530</v>
      </c>
      <c r="D198" s="4">
        <v>7.5679999999999996</v>
      </c>
      <c r="E198" s="4">
        <v>2.39</v>
      </c>
      <c r="F198" s="4">
        <v>3.31</v>
      </c>
      <c r="G198" s="4">
        <v>7.75</v>
      </c>
      <c r="H198" s="5">
        <f t="shared" si="3"/>
        <v>2.3413897280966767</v>
      </c>
      <c r="I198" s="6" t="str">
        <f>HYPERLINK("http://genome.ucsc.edu/cgi-bin/hgTracks?clade=vertebrate&amp;org=Zebrafish&amp;db=danRer7&amp;position=chr3:61284671-61311774","chr3:61284671-61311774")</f>
        <v>chr3:61284671-61311774</v>
      </c>
      <c r="J198" s="6" t="str">
        <f>HYPERLINK("http://www.ncbi.nlm.nih.gov/entrez/query.fcgi?db=gene&amp;cmd=Retrieve&amp;list_uids=553806","553806")</f>
        <v>553806</v>
      </c>
      <c r="K198" s="6" t="str">
        <f>HYPERLINK("http://www.ncbi.nlm.nih.gov/entrez/query.fcgi?cmd=Search&amp;db=Nucleotide&amp;term=NM_001020768","NM_001020768")</f>
        <v>NM_001020768</v>
      </c>
      <c r="L198" s="4" t="s">
        <v>47</v>
      </c>
      <c r="M198" s="4">
        <v>61284671</v>
      </c>
      <c r="N198" s="4">
        <v>61311774</v>
      </c>
      <c r="O198" s="4" t="s">
        <v>23</v>
      </c>
      <c r="P198" s="3" t="s">
        <v>65</v>
      </c>
      <c r="Q198" s="3" t="s">
        <v>66</v>
      </c>
      <c r="R198" s="3" t="s">
        <v>67</v>
      </c>
      <c r="S198" s="3" t="s">
        <v>68</v>
      </c>
      <c r="T198" s="3" t="s">
        <v>24</v>
      </c>
      <c r="U198" s="3" t="s">
        <v>25</v>
      </c>
      <c r="V198" s="4"/>
    </row>
    <row r="199" spans="1:22" customFormat="1" x14ac:dyDescent="0.15">
      <c r="A199" s="3" t="s">
        <v>1017</v>
      </c>
      <c r="B199" s="3" t="s">
        <v>1018</v>
      </c>
      <c r="C199" s="3" t="s">
        <v>1016</v>
      </c>
      <c r="D199" s="4">
        <v>1.028</v>
      </c>
      <c r="E199" s="4">
        <v>16.91</v>
      </c>
      <c r="F199" s="4">
        <v>11.51</v>
      </c>
      <c r="G199" s="4">
        <v>26.89</v>
      </c>
      <c r="H199" s="5">
        <f t="shared" si="3"/>
        <v>2.3362293657688968</v>
      </c>
      <c r="I199" s="6" t="str">
        <f>HYPERLINK("http://genome.ucsc.edu/cgi-bin/hgTracks?clade=vertebrate&amp;org=Zebrafish&amp;db=danRer7&amp;position=Zv9_NA913:1542-10967","Zv9_NA913:1542-10967")</f>
        <v>Zv9_NA913:1542-10967</v>
      </c>
      <c r="J199" s="6" t="str">
        <f>HYPERLINK("http://www.ncbi.nlm.nih.gov/entrez/query.fcgi?db=gene&amp;cmd=Retrieve&amp;list_uids=550242","550242")</f>
        <v>550242</v>
      </c>
      <c r="K199" s="6" t="str">
        <f>HYPERLINK("http://www.ncbi.nlm.nih.gov/entrez/query.fcgi?cmd=Search&amp;db=Nucleotide&amp;term=NM_001017580","NM_001017580")</f>
        <v>NM_001017580</v>
      </c>
      <c r="L199" s="4" t="s">
        <v>1019</v>
      </c>
      <c r="M199" s="4">
        <v>1542</v>
      </c>
      <c r="N199" s="4">
        <v>10967</v>
      </c>
      <c r="O199" s="4" t="s">
        <v>23</v>
      </c>
      <c r="P199" s="3" t="s">
        <v>1014</v>
      </c>
      <c r="Q199" s="3" t="s">
        <v>1015</v>
      </c>
      <c r="R199" s="4"/>
      <c r="S199" s="4"/>
      <c r="T199" s="3" t="s">
        <v>1020</v>
      </c>
      <c r="U199" s="3" t="s">
        <v>1021</v>
      </c>
      <c r="V199" s="4"/>
    </row>
    <row r="200" spans="1:22" customFormat="1" x14ac:dyDescent="0.15">
      <c r="A200" s="3" t="s">
        <v>938</v>
      </c>
      <c r="B200" s="3" t="s">
        <v>939</v>
      </c>
      <c r="C200" s="3" t="s">
        <v>937</v>
      </c>
      <c r="D200" s="4">
        <v>4.7850000000000001</v>
      </c>
      <c r="E200" s="4">
        <v>16.61</v>
      </c>
      <c r="F200" s="4">
        <v>15.98</v>
      </c>
      <c r="G200" s="4">
        <v>37.32</v>
      </c>
      <c r="H200" s="5">
        <f t="shared" si="3"/>
        <v>2.3354192740926156</v>
      </c>
      <c r="I200" s="6" t="str">
        <f>HYPERLINK("http://genome.ucsc.edu/cgi-bin/hgTracks?clade=vertebrate&amp;org=Zebrafish&amp;db=danRer7&amp;position=chr13:18677880-18686124","chr13:18677880-18686124")</f>
        <v>chr13:18677880-18686124</v>
      </c>
      <c r="J200" s="6" t="str">
        <f>HYPERLINK("http://www.ncbi.nlm.nih.gov/entrez/query.fcgi?db=gene&amp;cmd=Retrieve&amp;list_uids=334195","334195")</f>
        <v>334195</v>
      </c>
      <c r="K200" s="6" t="str">
        <f>HYPERLINK("http://www.ncbi.nlm.nih.gov/entrez/query.fcgi?cmd=Search&amp;db=Nucleotide&amp;term=NM_199871","NM_199871")</f>
        <v>NM_199871</v>
      </c>
      <c r="L200" s="4" t="s">
        <v>74</v>
      </c>
      <c r="M200" s="4">
        <v>18677880</v>
      </c>
      <c r="N200" s="4">
        <v>18686124</v>
      </c>
      <c r="O200" s="4" t="s">
        <v>19</v>
      </c>
      <c r="P200" s="3" t="s">
        <v>940</v>
      </c>
      <c r="Q200" s="3" t="s">
        <v>941</v>
      </c>
      <c r="R200" s="4"/>
      <c r="S200" s="4"/>
      <c r="T200" s="3" t="s">
        <v>942</v>
      </c>
      <c r="U200" s="3" t="s">
        <v>943</v>
      </c>
      <c r="V200" s="4"/>
    </row>
    <row r="201" spans="1:22" customFormat="1" x14ac:dyDescent="0.15">
      <c r="A201" s="7" t="s">
        <v>602</v>
      </c>
      <c r="B201" s="3" t="s">
        <v>603</v>
      </c>
      <c r="C201" s="3" t="s">
        <v>601</v>
      </c>
      <c r="D201" s="4">
        <v>9.702</v>
      </c>
      <c r="E201" s="4">
        <v>14.6</v>
      </c>
      <c r="F201" s="4">
        <v>46.32</v>
      </c>
      <c r="G201" s="4">
        <v>107.96</v>
      </c>
      <c r="H201" s="5">
        <f t="shared" si="3"/>
        <v>2.3307426597582035</v>
      </c>
      <c r="I201" s="6" t="str">
        <f>HYPERLINK("http://genome.ucsc.edu/cgi-bin/hgTracks?clade=vertebrate&amp;org=Zebrafish&amp;db=danRer7&amp;position=chr1:4393291-4432196","chr1:4393291-4432196")</f>
        <v>chr1:4393291-4432196</v>
      </c>
      <c r="J201" s="6" t="str">
        <f>HYPERLINK("http://www.ncbi.nlm.nih.gov/entrez/query.fcgi?db=gene&amp;cmd=Retrieve&amp;list_uids=334613","334613")</f>
        <v>334613</v>
      </c>
      <c r="K201" s="6" t="str">
        <f>HYPERLINK("http://www.ncbi.nlm.nih.gov/entrez/query.fcgi?cmd=Search&amp;db=Nucleotide&amp;term=NM_001013261","NM_001013261")</f>
        <v>NM_001013261</v>
      </c>
      <c r="L201" s="4" t="s">
        <v>63</v>
      </c>
      <c r="M201" s="4">
        <v>4393291</v>
      </c>
      <c r="N201" s="4">
        <v>4432196</v>
      </c>
      <c r="O201" s="4" t="s">
        <v>19</v>
      </c>
      <c r="P201" s="3" t="s">
        <v>604</v>
      </c>
      <c r="Q201" s="3" t="s">
        <v>605</v>
      </c>
      <c r="R201" s="3" t="s">
        <v>115</v>
      </c>
      <c r="S201" s="3" t="s">
        <v>116</v>
      </c>
      <c r="T201" s="4"/>
      <c r="U201" s="4"/>
      <c r="V201" s="4"/>
    </row>
    <row r="202" spans="1:22" customFormat="1" x14ac:dyDescent="0.15">
      <c r="A202" s="3" t="s">
        <v>931</v>
      </c>
      <c r="B202" s="3" t="s">
        <v>932</v>
      </c>
      <c r="C202" s="3" t="s">
        <v>930</v>
      </c>
      <c r="D202" s="4">
        <v>2.64</v>
      </c>
      <c r="E202" s="4">
        <v>18.36</v>
      </c>
      <c r="F202" s="4">
        <v>17.43</v>
      </c>
      <c r="G202" s="4">
        <v>40.58</v>
      </c>
      <c r="H202" s="5">
        <f t="shared" si="3"/>
        <v>2.3281698221457257</v>
      </c>
      <c r="I202" s="6" t="str">
        <f>HYPERLINK("http://genome.ucsc.edu/cgi-bin/hgTracks?clade=vertebrate&amp;org=Zebrafish&amp;db=danRer7&amp;position=chr12:20437072-20442929","chr12:20437072-20442929")</f>
        <v>chr12:20437072-20442929</v>
      </c>
      <c r="J202" s="6" t="str">
        <f>HYPERLINK("http://www.ncbi.nlm.nih.gov/entrez/query.fcgi?db=gene&amp;cmd=Retrieve&amp;list_uids=393307","393307")</f>
        <v>393307</v>
      </c>
      <c r="K202" s="6" t="str">
        <f>HYPERLINK("http://www.ncbi.nlm.nih.gov/entrez/query.fcgi?cmd=Search&amp;db=Nucleotide&amp;term=NM_200336","NM_200336")</f>
        <v>NM_200336</v>
      </c>
      <c r="L202" s="4" t="s">
        <v>57</v>
      </c>
      <c r="M202" s="4">
        <v>20437072</v>
      </c>
      <c r="N202" s="4">
        <v>20442929</v>
      </c>
      <c r="O202" s="4" t="s">
        <v>19</v>
      </c>
      <c r="P202" s="3" t="s">
        <v>729</v>
      </c>
      <c r="Q202" s="3" t="s">
        <v>730</v>
      </c>
      <c r="R202" s="3" t="s">
        <v>234</v>
      </c>
      <c r="S202" s="3" t="s">
        <v>235</v>
      </c>
      <c r="T202" s="3" t="s">
        <v>933</v>
      </c>
      <c r="U202" s="3" t="s">
        <v>934</v>
      </c>
      <c r="V202" s="4"/>
    </row>
    <row r="203" spans="1:22" customFormat="1" x14ac:dyDescent="0.15">
      <c r="A203" s="3" t="s">
        <v>727</v>
      </c>
      <c r="B203" s="3" t="s">
        <v>728</v>
      </c>
      <c r="C203" s="3" t="s">
        <v>726</v>
      </c>
      <c r="D203" s="4">
        <v>4.0579999999999998</v>
      </c>
      <c r="E203" s="4">
        <v>7.14</v>
      </c>
      <c r="F203" s="4">
        <v>6.99</v>
      </c>
      <c r="G203" s="4">
        <v>16.25</v>
      </c>
      <c r="H203" s="5">
        <f t="shared" si="3"/>
        <v>2.3247496423462088</v>
      </c>
      <c r="I203" s="6" t="str">
        <f>HYPERLINK("http://genome.ucsc.edu/cgi-bin/hgTracks?clade=vertebrate&amp;org=Zebrafish&amp;db=danRer7&amp;position=chr22:10823863-10844194","chr22:10823863-10844194")</f>
        <v>chr22:10823863-10844194</v>
      </c>
      <c r="J203" s="6" t="str">
        <f>HYPERLINK("http://www.ncbi.nlm.nih.gov/entrez/query.fcgi?db=gene&amp;cmd=Retrieve&amp;list_uids=406848","406848")</f>
        <v>406848</v>
      </c>
      <c r="K203" s="6" t="str">
        <f>HYPERLINK("http://www.ncbi.nlm.nih.gov/entrez/query.fcgi?cmd=Search&amp;db=Nucleotide&amp;term=NM_213527","NM_213527")</f>
        <v>NM_213527</v>
      </c>
      <c r="L203" s="4" t="s">
        <v>103</v>
      </c>
      <c r="M203" s="4">
        <v>10823863</v>
      </c>
      <c r="N203" s="4">
        <v>10844194</v>
      </c>
      <c r="O203" s="4" t="s">
        <v>23</v>
      </c>
      <c r="P203" s="3" t="s">
        <v>72</v>
      </c>
      <c r="Q203" s="3" t="s">
        <v>73</v>
      </c>
      <c r="R203" s="3" t="s">
        <v>101</v>
      </c>
      <c r="S203" s="3" t="s">
        <v>102</v>
      </c>
      <c r="T203" s="3" t="s">
        <v>221</v>
      </c>
      <c r="U203" s="3" t="s">
        <v>222</v>
      </c>
      <c r="V203" s="4"/>
    </row>
    <row r="204" spans="1:22" customFormat="1" x14ac:dyDescent="0.15">
      <c r="A204" s="3" t="s">
        <v>843</v>
      </c>
      <c r="B204" s="3" t="s">
        <v>844</v>
      </c>
      <c r="C204" s="3" t="s">
        <v>842</v>
      </c>
      <c r="D204" s="4">
        <v>1.857</v>
      </c>
      <c r="E204" s="4">
        <v>25.27</v>
      </c>
      <c r="F204" s="4">
        <v>25.02</v>
      </c>
      <c r="G204" s="4">
        <v>58.12</v>
      </c>
      <c r="H204" s="5">
        <f t="shared" si="3"/>
        <v>2.3229416466826538</v>
      </c>
      <c r="I204" s="6" t="str">
        <f>HYPERLINK("http://genome.ucsc.edu/cgi-bin/hgTracks?clade=vertebrate&amp;org=Zebrafish&amp;db=danRer7&amp;position=chr20:15558608-15560464","chr20:15558608-15560464")</f>
        <v>chr20:15558608-15560464</v>
      </c>
      <c r="J204" s="6" t="str">
        <f>HYPERLINK("http://www.ncbi.nlm.nih.gov/entrez/query.fcgi?db=gene&amp;cmd=Retrieve&amp;list_uids=335916","335916")</f>
        <v>335916</v>
      </c>
      <c r="K204" s="6" t="str">
        <f>HYPERLINK("http://www.ncbi.nlm.nih.gov/entrez/query.fcgi?cmd=Search&amp;db=Nucleotide&amp;term=NM_199987","NM_199987")</f>
        <v>NM_199987</v>
      </c>
      <c r="L204" s="4" t="s">
        <v>96</v>
      </c>
      <c r="M204" s="4">
        <v>15558608</v>
      </c>
      <c r="N204" s="4">
        <v>15560464</v>
      </c>
      <c r="O204" s="4" t="s">
        <v>23</v>
      </c>
      <c r="P204" s="3" t="s">
        <v>845</v>
      </c>
      <c r="Q204" s="3" t="s">
        <v>846</v>
      </c>
      <c r="R204" s="3" t="s">
        <v>234</v>
      </c>
      <c r="S204" s="3" t="s">
        <v>235</v>
      </c>
      <c r="T204" s="3" t="s">
        <v>847</v>
      </c>
      <c r="U204" s="3" t="s">
        <v>848</v>
      </c>
      <c r="V204" s="4"/>
    </row>
    <row r="205" spans="1:22" customFormat="1" x14ac:dyDescent="0.15">
      <c r="A205" s="3" t="s">
        <v>877</v>
      </c>
      <c r="B205" s="3" t="s">
        <v>878</v>
      </c>
      <c r="C205" s="3" t="s">
        <v>876</v>
      </c>
      <c r="D205" s="4">
        <v>4.508</v>
      </c>
      <c r="E205" s="4">
        <v>740.81</v>
      </c>
      <c r="F205" s="4">
        <v>490.74</v>
      </c>
      <c r="G205" s="4">
        <v>1136.3800000000001</v>
      </c>
      <c r="H205" s="5">
        <f t="shared" si="3"/>
        <v>2.3156457594652973</v>
      </c>
      <c r="I205" s="6" t="str">
        <f>HYPERLINK("http://genome.ucsc.edu/cgi-bin/hgTracks?clade=vertebrate&amp;org=Zebrafish&amp;db=danRer7&amp;position=chr23:10355857-10360469","chr23:10355857-10360469")</f>
        <v>chr23:10355857-10360469</v>
      </c>
      <c r="J205" s="6" t="str">
        <f>HYPERLINK("http://www.ncbi.nlm.nih.gov/entrez/query.fcgi?db=gene&amp;cmd=Retrieve&amp;list_uids=797433","797433")</f>
        <v>797433</v>
      </c>
      <c r="K205" s="6" t="str">
        <f>HYPERLINK("http://www.ncbi.nlm.nih.gov/entrez/query.fcgi?cmd=Search&amp;db=Nucleotide&amp;term=NM_200080","NM_200080")</f>
        <v>NM_200080</v>
      </c>
      <c r="L205" s="4" t="s">
        <v>80</v>
      </c>
      <c r="M205" s="4">
        <v>10355857</v>
      </c>
      <c r="N205" s="4">
        <v>10360469</v>
      </c>
      <c r="O205" s="4" t="s">
        <v>19</v>
      </c>
      <c r="P205" s="4"/>
      <c r="Q205" s="4"/>
      <c r="R205" s="3" t="s">
        <v>879</v>
      </c>
      <c r="S205" s="3" t="s">
        <v>880</v>
      </c>
      <c r="T205" s="3" t="s">
        <v>394</v>
      </c>
      <c r="U205" s="3" t="s">
        <v>395</v>
      </c>
      <c r="V205" s="4"/>
    </row>
    <row r="206" spans="1:22" customFormat="1" x14ac:dyDescent="0.15">
      <c r="A206" s="3" t="s">
        <v>810</v>
      </c>
      <c r="B206" s="3" t="s">
        <v>808</v>
      </c>
      <c r="C206" s="3" t="s">
        <v>809</v>
      </c>
      <c r="D206" s="4">
        <v>1.056</v>
      </c>
      <c r="E206" s="4">
        <v>2.5</v>
      </c>
      <c r="F206" s="4">
        <v>2.57</v>
      </c>
      <c r="G206" s="4">
        <v>5.94</v>
      </c>
      <c r="H206" s="5">
        <f t="shared" si="3"/>
        <v>2.3112840466926072</v>
      </c>
      <c r="I206" s="6" t="str">
        <f>HYPERLINK("http://genome.ucsc.edu/cgi-bin/hgTracks?clade=vertebrate&amp;org=Zebrafish&amp;db=danRer7&amp;position=chr22:2191784-2201651","chr22:2191784-2201651")</f>
        <v>chr22:2191784-2201651</v>
      </c>
      <c r="J206" s="6" t="str">
        <f>HYPERLINK("http://www.ncbi.nlm.nih.gov/entrez/query.fcgi?db=gene&amp;cmd=Retrieve&amp;list_uids=386591","386591")</f>
        <v>386591</v>
      </c>
      <c r="K206" s="6" t="str">
        <f>HYPERLINK("http://www.ncbi.nlm.nih.gov/entrez/query.fcgi?cmd=Search&amp;db=Nucleotide&amp;term=NM_198211","NM_198211")</f>
        <v>NM_198211</v>
      </c>
      <c r="L206" s="4" t="s">
        <v>103</v>
      </c>
      <c r="M206" s="4">
        <v>2191784</v>
      </c>
      <c r="N206" s="4">
        <v>2201651</v>
      </c>
      <c r="O206" s="4" t="s">
        <v>19</v>
      </c>
      <c r="P206" s="4"/>
      <c r="Q206" s="4"/>
      <c r="R206" s="4"/>
      <c r="S206" s="4"/>
      <c r="T206" s="3" t="s">
        <v>88</v>
      </c>
      <c r="U206" s="3" t="s">
        <v>89</v>
      </c>
      <c r="V206" s="4"/>
    </row>
    <row r="207" spans="1:22" customFormat="1" x14ac:dyDescent="0.15">
      <c r="A207" s="3" t="s">
        <v>1422</v>
      </c>
      <c r="B207" s="3" t="s">
        <v>1423</v>
      </c>
      <c r="C207" s="3" t="s">
        <v>1421</v>
      </c>
      <c r="D207" s="4">
        <v>1.7569999999999999</v>
      </c>
      <c r="E207" s="4">
        <v>9.57</v>
      </c>
      <c r="F207" s="4">
        <v>7.13</v>
      </c>
      <c r="G207" s="4">
        <v>16.41</v>
      </c>
      <c r="H207" s="5">
        <f t="shared" si="3"/>
        <v>2.3015427769985974</v>
      </c>
      <c r="I207" s="6" t="str">
        <f>HYPERLINK("http://genome.ucsc.edu/cgi-bin/hgTracks?clade=vertebrate&amp;org=Zebrafish&amp;db=danRer7&amp;position=chr6:12907958-12933841","chr6:12907958-12933841")</f>
        <v>chr6:12907958-12933841</v>
      </c>
      <c r="J207" s="6" t="str">
        <f>HYPERLINK("http://www.ncbi.nlm.nih.gov/entrez/query.fcgi?db=gene&amp;cmd=Retrieve&amp;list_uids=449819","449819")</f>
        <v>449819</v>
      </c>
      <c r="K207" s="6" t="str">
        <f>HYPERLINK("http://www.ncbi.nlm.nih.gov/entrez/query.fcgi?cmd=Search&amp;db=Nucleotide&amp;term=NM_001005992","NM_001005992")</f>
        <v>NM_001005992</v>
      </c>
      <c r="L207" s="4" t="s">
        <v>46</v>
      </c>
      <c r="M207" s="4">
        <v>12907958</v>
      </c>
      <c r="N207" s="4">
        <v>12933841</v>
      </c>
      <c r="O207" s="4" t="s">
        <v>19</v>
      </c>
      <c r="P207" s="3" t="s">
        <v>65</v>
      </c>
      <c r="Q207" s="3" t="s">
        <v>66</v>
      </c>
      <c r="R207" s="3" t="s">
        <v>75</v>
      </c>
      <c r="S207" s="3" t="s">
        <v>76</v>
      </c>
      <c r="T207" s="3" t="s">
        <v>24</v>
      </c>
      <c r="U207" s="3" t="s">
        <v>25</v>
      </c>
      <c r="V207" s="4"/>
    </row>
    <row r="208" spans="1:22" customFormat="1" x14ac:dyDescent="0.15">
      <c r="A208" s="3" t="s">
        <v>1365</v>
      </c>
      <c r="B208" s="3" t="s">
        <v>1366</v>
      </c>
      <c r="C208" s="3" t="s">
        <v>1364</v>
      </c>
      <c r="D208" s="4">
        <v>2.3849999999999998</v>
      </c>
      <c r="E208" s="4">
        <v>6.7</v>
      </c>
      <c r="F208" s="4">
        <v>23.63</v>
      </c>
      <c r="G208" s="4">
        <v>54.32</v>
      </c>
      <c r="H208" s="5">
        <f t="shared" si="3"/>
        <v>2.2987727465086754</v>
      </c>
      <c r="I208" s="6" t="str">
        <f>HYPERLINK("http://genome.ucsc.edu/cgi-bin/hgTracks?clade=vertebrate&amp;org=Zebrafish&amp;db=danRer7&amp;position=chr12:37046023-37050142","chr12:37046023-37050142")</f>
        <v>chr12:37046023-37050142</v>
      </c>
      <c r="J208" s="6" t="str">
        <f>HYPERLINK("http://www.ncbi.nlm.nih.gov/entrez/query.fcgi?db=gene&amp;cmd=Retrieve&amp;list_uids=406596","406596")</f>
        <v>406596</v>
      </c>
      <c r="K208" s="6" t="str">
        <f>HYPERLINK("http://www.ncbi.nlm.nih.gov/entrez/query.fcgi?cmd=Search&amp;db=Nucleotide&amp;term=NM_213304","NM_213304")</f>
        <v>NM_213304</v>
      </c>
      <c r="L208" s="4" t="s">
        <v>57</v>
      </c>
      <c r="M208" s="4">
        <v>37046023</v>
      </c>
      <c r="N208" s="4">
        <v>37050142</v>
      </c>
      <c r="O208" s="4" t="s">
        <v>19</v>
      </c>
      <c r="P208" s="3" t="s">
        <v>240</v>
      </c>
      <c r="Q208" s="3" t="s">
        <v>241</v>
      </c>
      <c r="R208" s="3" t="s">
        <v>67</v>
      </c>
      <c r="S208" s="3" t="s">
        <v>68</v>
      </c>
      <c r="T208" s="4"/>
      <c r="U208" s="4"/>
      <c r="V208" s="4"/>
    </row>
    <row r="209" spans="1:22" customFormat="1" x14ac:dyDescent="0.15">
      <c r="A209" s="3" t="s">
        <v>991</v>
      </c>
      <c r="B209" s="3" t="s">
        <v>992</v>
      </c>
      <c r="C209" s="3" t="s">
        <v>990</v>
      </c>
      <c r="D209" s="4">
        <v>1.8029999999999999</v>
      </c>
      <c r="E209" s="4">
        <v>4.53</v>
      </c>
      <c r="F209" s="4">
        <v>7.22</v>
      </c>
      <c r="G209" s="4">
        <v>16.59</v>
      </c>
      <c r="H209" s="5">
        <f t="shared" si="3"/>
        <v>2.2977839335180055</v>
      </c>
      <c r="I209" s="6" t="str">
        <f>HYPERLINK("http://genome.ucsc.edu/cgi-bin/hgTracks?clade=vertebrate&amp;org=Zebrafish&amp;db=danRer7&amp;position=chr4:60747967-60760459","chr4:60747967-60760459")</f>
        <v>chr4:60747967-60760459</v>
      </c>
      <c r="J209" s="6" t="str">
        <f>HYPERLINK("http://www.ncbi.nlm.nih.gov/entrez/query.fcgi?db=gene&amp;cmd=Retrieve&amp;list_uids=550409","550409")</f>
        <v>550409</v>
      </c>
      <c r="K209" s="6" t="str">
        <f>HYPERLINK("http://www.ncbi.nlm.nih.gov/entrez/query.fcgi?cmd=Search&amp;db=Nucleotide&amp;term=NM_001017714","NM_001017714")</f>
        <v>NM_001017714</v>
      </c>
      <c r="L209" s="4" t="s">
        <v>77</v>
      </c>
      <c r="M209" s="4">
        <v>60747967</v>
      </c>
      <c r="N209" s="4">
        <v>60760459</v>
      </c>
      <c r="O209" s="4" t="s">
        <v>23</v>
      </c>
      <c r="P209" s="4"/>
      <c r="Q209" s="4"/>
      <c r="R209" s="3" t="s">
        <v>39</v>
      </c>
      <c r="S209" s="3" t="s">
        <v>40</v>
      </c>
      <c r="T209" s="4"/>
      <c r="U209" s="4"/>
      <c r="V209" s="4"/>
    </row>
    <row r="210" spans="1:22" customFormat="1" x14ac:dyDescent="0.15">
      <c r="A210" s="3" t="s">
        <v>1205</v>
      </c>
      <c r="B210" s="3" t="s">
        <v>1205</v>
      </c>
      <c r="C210" s="3" t="s">
        <v>1204</v>
      </c>
      <c r="D210" s="4">
        <v>0.77300000000000002</v>
      </c>
      <c r="E210" s="4">
        <v>2.78</v>
      </c>
      <c r="F210" s="4">
        <v>3.6</v>
      </c>
      <c r="G210" s="4">
        <v>8.27</v>
      </c>
      <c r="H210" s="5">
        <f t="shared" si="3"/>
        <v>2.2972222222222221</v>
      </c>
      <c r="I210" s="6" t="str">
        <f>HYPERLINK("http://genome.ucsc.edu/cgi-bin/hgTracks?clade=vertebrate&amp;org=Zebrafish&amp;db=danRer7&amp;position=chr15:36713515-36718125","chr15:36713515-36718125")</f>
        <v>chr15:36713515-36718125</v>
      </c>
      <c r="J210" s="6" t="str">
        <f>HYPERLINK("http://www.ncbi.nlm.nih.gov/entrez/query.fcgi?db=gene&amp;cmd=Retrieve&amp;list_uids=100003913","100003913")</f>
        <v>100003913</v>
      </c>
      <c r="K210" s="6" t="str">
        <f>HYPERLINK("http://www.ncbi.nlm.nih.gov/entrez/query.fcgi?cmd=Search&amp;db=Nucleotide&amp;term=NM_001098263","NM_001098263")</f>
        <v>NM_001098263</v>
      </c>
      <c r="L210" s="4" t="s">
        <v>18</v>
      </c>
      <c r="M210" s="4">
        <v>36713515</v>
      </c>
      <c r="N210" s="4">
        <v>36718125</v>
      </c>
      <c r="O210" s="4" t="s">
        <v>23</v>
      </c>
      <c r="P210" s="4"/>
      <c r="Q210" s="4"/>
      <c r="R210" s="3" t="s">
        <v>81</v>
      </c>
      <c r="S210" s="3" t="s">
        <v>82</v>
      </c>
      <c r="T210" s="4"/>
      <c r="U210" s="4"/>
      <c r="V210" s="4"/>
    </row>
    <row r="211" spans="1:22" customFormat="1" x14ac:dyDescent="0.15">
      <c r="A211" s="3" t="s">
        <v>1553</v>
      </c>
      <c r="B211" s="3" t="s">
        <v>1553</v>
      </c>
      <c r="C211" s="3" t="s">
        <v>1552</v>
      </c>
      <c r="D211" s="4">
        <v>1.7150000000000001</v>
      </c>
      <c r="E211" s="4">
        <v>4.7300000000000004</v>
      </c>
      <c r="F211" s="4">
        <v>4.95</v>
      </c>
      <c r="G211" s="4">
        <v>11.34</v>
      </c>
      <c r="H211" s="5">
        <f t="shared" si="3"/>
        <v>2.290909090909091</v>
      </c>
      <c r="I211" s="6" t="str">
        <f>HYPERLINK("http://genome.ucsc.edu/cgi-bin/hgTracks?clade=vertebrate&amp;org=Zebrafish&amp;db=danRer7&amp;position=chr1:11231668-11240844","chr1:11231668-11240844")</f>
        <v>chr1:11231668-11240844</v>
      </c>
      <c r="J211" s="6" t="str">
        <f>HYPERLINK("http://www.ncbi.nlm.nih.gov/entrez/query.fcgi?db=gene&amp;cmd=Retrieve&amp;list_uids=767649","767649")</f>
        <v>767649</v>
      </c>
      <c r="K211" s="6" t="str">
        <f>HYPERLINK("http://www.ncbi.nlm.nih.gov/entrez/query.fcgi?cmd=Search&amp;db=Nucleotide&amp;term=NM_001076589","NM_001076589")</f>
        <v>NM_001076589</v>
      </c>
      <c r="L211" s="4" t="s">
        <v>63</v>
      </c>
      <c r="M211" s="4">
        <v>11231668</v>
      </c>
      <c r="N211" s="4">
        <v>11240844</v>
      </c>
      <c r="O211" s="4" t="s">
        <v>19</v>
      </c>
      <c r="P211" s="3" t="s">
        <v>65</v>
      </c>
      <c r="Q211" s="3" t="s">
        <v>66</v>
      </c>
      <c r="R211" s="3" t="s">
        <v>67</v>
      </c>
      <c r="S211" s="3" t="s">
        <v>68</v>
      </c>
      <c r="T211" s="3" t="s">
        <v>24</v>
      </c>
      <c r="U211" s="3" t="s">
        <v>25</v>
      </c>
      <c r="V211" s="4"/>
    </row>
    <row r="212" spans="1:22" customFormat="1" x14ac:dyDescent="0.15">
      <c r="A212" s="3" t="s">
        <v>1184</v>
      </c>
      <c r="B212" s="3" t="s">
        <v>1185</v>
      </c>
      <c r="C212" s="3" t="s">
        <v>1183</v>
      </c>
      <c r="D212" s="4">
        <v>1.198</v>
      </c>
      <c r="E212" s="4">
        <v>2.0699999999999998</v>
      </c>
      <c r="F212" s="4">
        <v>2.2000000000000002</v>
      </c>
      <c r="G212" s="4">
        <v>5.04</v>
      </c>
      <c r="H212" s="5">
        <f t="shared" si="3"/>
        <v>2.2909090909090906</v>
      </c>
      <c r="I212" s="6" t="str">
        <f>HYPERLINK("http://genome.ucsc.edu/cgi-bin/hgTracks?clade=vertebrate&amp;org=Zebrafish&amp;db=danRer7&amp;position=chr24:33779333-33787781","chr24:33779333-33787781")</f>
        <v>chr24:33779333-33787781</v>
      </c>
      <c r="J212" s="6" t="str">
        <f>HYPERLINK("http://www.ncbi.nlm.nih.gov/entrez/query.fcgi?db=gene&amp;cmd=Retrieve&amp;list_uids=494176","494176")</f>
        <v>494176</v>
      </c>
      <c r="K212" s="6" t="str">
        <f>HYPERLINK("http://www.ncbi.nlm.nih.gov/entrez/query.fcgi?cmd=Search&amp;db=Nucleotide&amp;term=NM_001009912","NM_001009912")</f>
        <v>NM_001009912</v>
      </c>
      <c r="L212" s="4" t="s">
        <v>69</v>
      </c>
      <c r="M212" s="4">
        <v>33779333</v>
      </c>
      <c r="N212" s="4">
        <v>33787781</v>
      </c>
      <c r="O212" s="4" t="s">
        <v>19</v>
      </c>
      <c r="P212" s="3" t="s">
        <v>90</v>
      </c>
      <c r="Q212" s="3" t="s">
        <v>91</v>
      </c>
      <c r="R212" s="3" t="s">
        <v>67</v>
      </c>
      <c r="S212" s="3" t="s">
        <v>68</v>
      </c>
      <c r="T212" s="3" t="s">
        <v>304</v>
      </c>
      <c r="U212" s="3" t="s">
        <v>305</v>
      </c>
      <c r="V212" s="4"/>
    </row>
    <row r="213" spans="1:22" customFormat="1" x14ac:dyDescent="0.15">
      <c r="A213" s="3" t="s">
        <v>768</v>
      </c>
      <c r="B213" s="3" t="s">
        <v>769</v>
      </c>
      <c r="C213" s="3" t="s">
        <v>767</v>
      </c>
      <c r="D213" s="4">
        <v>0.65900000000000003</v>
      </c>
      <c r="E213" s="4">
        <v>22.23</v>
      </c>
      <c r="F213" s="4">
        <v>13.89</v>
      </c>
      <c r="G213" s="4">
        <v>31.82</v>
      </c>
      <c r="H213" s="5">
        <f t="shared" si="3"/>
        <v>2.2908567314614832</v>
      </c>
      <c r="I213" s="6" t="str">
        <f>HYPERLINK("http://genome.ucsc.edu/cgi-bin/hgTracks?clade=vertebrate&amp;org=Zebrafish&amp;db=danRer7&amp;position=chr3:33437532-33438190","chr3:33437532-33438190")</f>
        <v>chr3:33437532-33438190</v>
      </c>
      <c r="J213" s="6" t="str">
        <f>HYPERLINK("http://www.ncbi.nlm.nih.gov/entrez/query.fcgi?db=gene&amp;cmd=Retrieve&amp;list_uids=100137108","100137108")</f>
        <v>100137108</v>
      </c>
      <c r="K213" s="6" t="str">
        <f>HYPERLINK("http://www.ncbi.nlm.nih.gov/entrez/query.fcgi?cmd=Search&amp;db=Nucleotide&amp;term=NM_001114705","NM_001114705")</f>
        <v>NM_001114705</v>
      </c>
      <c r="L213" s="4" t="s">
        <v>47</v>
      </c>
      <c r="M213" s="4">
        <v>33437532</v>
      </c>
      <c r="N213" s="4">
        <v>33438190</v>
      </c>
      <c r="O213" s="4" t="s">
        <v>23</v>
      </c>
      <c r="P213" s="3" t="s">
        <v>165</v>
      </c>
      <c r="Q213" s="3" t="s">
        <v>166</v>
      </c>
      <c r="R213" s="4"/>
      <c r="S213" s="4"/>
      <c r="T213" s="4"/>
      <c r="U213" s="4"/>
      <c r="V213" s="4"/>
    </row>
    <row r="214" spans="1:22" customFormat="1" x14ac:dyDescent="0.15">
      <c r="A214" s="3" t="s">
        <v>1017</v>
      </c>
      <c r="B214" s="3" t="s">
        <v>1018</v>
      </c>
      <c r="C214" s="3" t="s">
        <v>1016</v>
      </c>
      <c r="D214" s="4">
        <v>0.68300000000000005</v>
      </c>
      <c r="E214" s="4">
        <v>10.039999999999999</v>
      </c>
      <c r="F214" s="4">
        <v>7.61</v>
      </c>
      <c r="G214" s="4">
        <v>17.41</v>
      </c>
      <c r="H214" s="5">
        <f t="shared" si="3"/>
        <v>2.2877792378449406</v>
      </c>
      <c r="I214" s="6" t="str">
        <f>HYPERLINK("http://genome.ucsc.edu/cgi-bin/hgTracks?clade=vertebrate&amp;org=Zebrafish&amp;db=danRer7&amp;position=chr8:55412804-55423548","chr8:55412804-55423548")</f>
        <v>chr8:55412804-55423548</v>
      </c>
      <c r="J214" s="6" t="str">
        <f>HYPERLINK("http://www.ncbi.nlm.nih.gov/entrez/query.fcgi?db=gene&amp;cmd=Retrieve&amp;list_uids=550242","550242")</f>
        <v>550242</v>
      </c>
      <c r="K214" s="6" t="str">
        <f>HYPERLINK("http://www.ncbi.nlm.nih.gov/entrez/query.fcgi?cmd=Search&amp;db=Nucleotide&amp;term=NM_001017580","NM_001017580")</f>
        <v>NM_001017580</v>
      </c>
      <c r="L214" s="4" t="s">
        <v>78</v>
      </c>
      <c r="M214" s="4">
        <v>55412804</v>
      </c>
      <c r="N214" s="4">
        <v>55423548</v>
      </c>
      <c r="O214" s="4" t="s">
        <v>19</v>
      </c>
      <c r="P214" s="3" t="s">
        <v>1014</v>
      </c>
      <c r="Q214" s="3" t="s">
        <v>1015</v>
      </c>
      <c r="R214" s="4"/>
      <c r="S214" s="4"/>
      <c r="T214" s="3" t="s">
        <v>1020</v>
      </c>
      <c r="U214" s="3" t="s">
        <v>1021</v>
      </c>
      <c r="V214" s="4"/>
    </row>
    <row r="215" spans="1:22" customFormat="1" x14ac:dyDescent="0.15">
      <c r="A215" s="3" t="s">
        <v>1425</v>
      </c>
      <c r="B215" s="3" t="s">
        <v>1426</v>
      </c>
      <c r="C215" s="3" t="s">
        <v>1424</v>
      </c>
      <c r="D215" s="4">
        <v>3.698</v>
      </c>
      <c r="E215" s="4">
        <v>13.35</v>
      </c>
      <c r="F215" s="4">
        <v>9.8699999999999992</v>
      </c>
      <c r="G215" s="4">
        <v>22.54</v>
      </c>
      <c r="H215" s="5">
        <f t="shared" si="3"/>
        <v>2.2836879432624113</v>
      </c>
      <c r="I215" s="6" t="str">
        <f>HYPERLINK("http://genome.ucsc.edu/cgi-bin/hgTracks?clade=vertebrate&amp;org=Zebrafish&amp;db=danRer7&amp;position=chr8:29306603-29315883","chr8:29306603-29315883")</f>
        <v>chr8:29306603-29315883</v>
      </c>
      <c r="J215" s="6" t="str">
        <f>HYPERLINK("http://www.ncbi.nlm.nih.gov/entrez/query.fcgi?db=gene&amp;cmd=Retrieve&amp;list_uids=450031","450031")</f>
        <v>450031</v>
      </c>
      <c r="K215" s="6" t="str">
        <f>HYPERLINK("http://www.ncbi.nlm.nih.gov/entrez/query.fcgi?cmd=Search&amp;db=Nucleotide&amp;term=NM_001006052","NM_001006052")</f>
        <v>NM_001006052</v>
      </c>
      <c r="L215" s="4" t="s">
        <v>78</v>
      </c>
      <c r="M215" s="4">
        <v>29306603</v>
      </c>
      <c r="N215" s="4">
        <v>29315883</v>
      </c>
      <c r="O215" s="4" t="s">
        <v>23</v>
      </c>
      <c r="P215" s="4"/>
      <c r="Q215" s="4"/>
      <c r="R215" s="3" t="s">
        <v>67</v>
      </c>
      <c r="S215" s="3" t="s">
        <v>68</v>
      </c>
      <c r="T215" s="4"/>
      <c r="U215" s="4"/>
      <c r="V215" s="4"/>
    </row>
    <row r="216" spans="1:22" customFormat="1" x14ac:dyDescent="0.15">
      <c r="A216" s="3" t="s">
        <v>246</v>
      </c>
      <c r="B216" s="3" t="s">
        <v>247</v>
      </c>
      <c r="C216" s="3" t="s">
        <v>245</v>
      </c>
      <c r="D216" s="4">
        <v>5.6310000000000002</v>
      </c>
      <c r="E216" s="4">
        <v>12.9</v>
      </c>
      <c r="F216" s="4">
        <v>11.2</v>
      </c>
      <c r="G216" s="4">
        <v>25.56</v>
      </c>
      <c r="H216" s="5">
        <f t="shared" si="3"/>
        <v>2.282142857142857</v>
      </c>
      <c r="I216" s="6" t="str">
        <f>HYPERLINK("http://genome.ucsc.edu/cgi-bin/hgTracks?clade=vertebrate&amp;org=Zebrafish&amp;db=danRer7&amp;position=chr19:26140026-26163657","chr19:26140026-26163657")</f>
        <v>chr19:26140026-26163657</v>
      </c>
      <c r="J216" s="6" t="str">
        <f>HYPERLINK("http://www.ncbi.nlm.nih.gov/entrez/query.fcgi?db=gene&amp;cmd=Retrieve&amp;list_uids=394138","394138")</f>
        <v>394138</v>
      </c>
      <c r="K216" s="6" t="str">
        <f>HYPERLINK("http://www.ncbi.nlm.nih.gov/entrez/query.fcgi?cmd=Search&amp;db=Nucleotide&amp;term=NM_201163","NM_201163")</f>
        <v>NM_201163</v>
      </c>
      <c r="L216" s="4" t="s">
        <v>70</v>
      </c>
      <c r="M216" s="4">
        <v>26140026</v>
      </c>
      <c r="N216" s="4">
        <v>26163657</v>
      </c>
      <c r="O216" s="4" t="s">
        <v>19</v>
      </c>
      <c r="P216" s="3" t="s">
        <v>248</v>
      </c>
      <c r="Q216" s="3" t="s">
        <v>249</v>
      </c>
      <c r="R216" s="4"/>
      <c r="S216" s="4"/>
      <c r="T216" s="3" t="s">
        <v>250</v>
      </c>
      <c r="U216" s="3" t="s">
        <v>251</v>
      </c>
      <c r="V216" s="4"/>
    </row>
    <row r="217" spans="1:22" customFormat="1" x14ac:dyDescent="0.15">
      <c r="A217" s="3" t="s">
        <v>1340</v>
      </c>
      <c r="B217" s="3" t="s">
        <v>1341</v>
      </c>
      <c r="C217" s="3" t="s">
        <v>1339</v>
      </c>
      <c r="D217" s="4">
        <v>3.7850000000000001</v>
      </c>
      <c r="E217" s="4">
        <v>3.09</v>
      </c>
      <c r="F217" s="4">
        <v>4.97</v>
      </c>
      <c r="G217" s="4">
        <v>11.33</v>
      </c>
      <c r="H217" s="5">
        <f t="shared" si="3"/>
        <v>2.2796780684104627</v>
      </c>
      <c r="I217" s="6" t="str">
        <f>HYPERLINK("http://genome.ucsc.edu/cgi-bin/hgTracks?clade=vertebrate&amp;org=Zebrafish&amp;db=danRer7&amp;position=chr16:54802848-54809321","chr16:54802848-54809321")</f>
        <v>chr16:54802848-54809321</v>
      </c>
      <c r="J217" s="6" t="str">
        <f>HYPERLINK("http://www.ncbi.nlm.nih.gov/entrez/query.fcgi?db=gene&amp;cmd=Retrieve&amp;list_uids=792986","792986")</f>
        <v>792986</v>
      </c>
      <c r="K217" s="6" t="str">
        <f>HYPERLINK("http://www.ncbi.nlm.nih.gov/entrez/query.fcgi?cmd=Search&amp;db=Nucleotide&amp;term=NM_001080619","NM_001080619")</f>
        <v>NM_001080619</v>
      </c>
      <c r="L217" s="4" t="s">
        <v>71</v>
      </c>
      <c r="M217" s="4">
        <v>54802848</v>
      </c>
      <c r="N217" s="4">
        <v>54809321</v>
      </c>
      <c r="O217" s="4" t="s">
        <v>19</v>
      </c>
      <c r="P217" s="3" t="s">
        <v>1342</v>
      </c>
      <c r="Q217" s="3" t="s">
        <v>1343</v>
      </c>
      <c r="R217" s="3" t="s">
        <v>81</v>
      </c>
      <c r="S217" s="3" t="s">
        <v>82</v>
      </c>
      <c r="T217" s="3" t="s">
        <v>1337</v>
      </c>
      <c r="U217" s="3" t="s">
        <v>1338</v>
      </c>
      <c r="V217" s="4"/>
    </row>
    <row r="218" spans="1:22" customFormat="1" x14ac:dyDescent="0.15">
      <c r="A218" s="3" t="s">
        <v>1376</v>
      </c>
      <c r="B218" s="3" t="s">
        <v>1377</v>
      </c>
      <c r="C218" s="3" t="s">
        <v>1375</v>
      </c>
      <c r="D218" s="4">
        <v>4.3079999999999998</v>
      </c>
      <c r="E218" s="4">
        <v>27.3</v>
      </c>
      <c r="F218" s="4">
        <v>24.46</v>
      </c>
      <c r="G218" s="4">
        <v>55.74</v>
      </c>
      <c r="H218" s="5">
        <f t="shared" si="3"/>
        <v>2.2788225674570728</v>
      </c>
      <c r="I218" s="6" t="str">
        <f>HYPERLINK("http://genome.ucsc.edu/cgi-bin/hgTracks?clade=vertebrate&amp;org=Zebrafish&amp;db=danRer7&amp;position=chr14:14448436-14453802","chr14:14448436-14453802")</f>
        <v>chr14:14448436-14453802</v>
      </c>
      <c r="J218" s="6" t="str">
        <f>HYPERLINK("http://www.ncbi.nlm.nih.gov/entrez/query.fcgi?db=gene&amp;cmd=Retrieve&amp;list_uids=406452","406452")</f>
        <v>406452</v>
      </c>
      <c r="K218" s="6" t="str">
        <f>HYPERLINK("http://www.ncbi.nlm.nih.gov/entrez/query.fcgi?cmd=Search&amp;db=Nucleotide&amp;term=NM_213173","NM_213173")</f>
        <v>NM_213173</v>
      </c>
      <c r="L218" s="4" t="s">
        <v>64</v>
      </c>
      <c r="M218" s="4">
        <v>14448436</v>
      </c>
      <c r="N218" s="4">
        <v>14453802</v>
      </c>
      <c r="O218" s="4" t="s">
        <v>23</v>
      </c>
      <c r="P218" s="3" t="s">
        <v>65</v>
      </c>
      <c r="Q218" s="3" t="s">
        <v>66</v>
      </c>
      <c r="R218" s="3" t="s">
        <v>67</v>
      </c>
      <c r="S218" s="3" t="s">
        <v>68</v>
      </c>
      <c r="T218" s="3" t="s">
        <v>153</v>
      </c>
      <c r="U218" s="3" t="s">
        <v>154</v>
      </c>
      <c r="V218" s="4"/>
    </row>
    <row r="219" spans="1:22" customFormat="1" x14ac:dyDescent="0.15">
      <c r="A219" s="3" t="s">
        <v>1412</v>
      </c>
      <c r="B219" s="3" t="s">
        <v>1413</v>
      </c>
      <c r="C219" s="3" t="s">
        <v>1411</v>
      </c>
      <c r="D219" s="4">
        <v>2.8929999999999998</v>
      </c>
      <c r="E219" s="4">
        <v>32.74</v>
      </c>
      <c r="F219" s="4">
        <v>31.47</v>
      </c>
      <c r="G219" s="4">
        <v>71.349999999999994</v>
      </c>
      <c r="H219" s="5">
        <f t="shared" si="3"/>
        <v>2.267238639974579</v>
      </c>
      <c r="I219" s="6" t="str">
        <f>HYPERLINK("http://genome.ucsc.edu/cgi-bin/hgTracks?clade=vertebrate&amp;org=Zebrafish&amp;db=danRer7&amp;position=chr23:20401928-20414797","chr23:20401928-20414797")</f>
        <v>chr23:20401928-20414797</v>
      </c>
      <c r="J219" s="6" t="str">
        <f>HYPERLINK("http://www.ncbi.nlm.nih.gov/entrez/query.fcgi?db=gene&amp;cmd=Retrieve&amp;list_uids=378713","378713")</f>
        <v>378713</v>
      </c>
      <c r="K219" s="6" t="str">
        <f>HYPERLINK("http://www.ncbi.nlm.nih.gov/entrez/query.fcgi?cmd=Search&amp;db=Nucleotide&amp;term=NM_198070","NM_198070")</f>
        <v>NM_198070</v>
      </c>
      <c r="L219" s="4" t="s">
        <v>80</v>
      </c>
      <c r="M219" s="4">
        <v>20401928</v>
      </c>
      <c r="N219" s="4">
        <v>20414797</v>
      </c>
      <c r="O219" s="4" t="s">
        <v>19</v>
      </c>
      <c r="P219" s="3" t="s">
        <v>37</v>
      </c>
      <c r="Q219" s="3" t="s">
        <v>38</v>
      </c>
      <c r="R219" s="4"/>
      <c r="S219" s="4"/>
      <c r="T219" s="3" t="s">
        <v>1414</v>
      </c>
      <c r="U219" s="3" t="s">
        <v>1415</v>
      </c>
      <c r="V219" s="4"/>
    </row>
    <row r="220" spans="1:22" customFormat="1" x14ac:dyDescent="0.15">
      <c r="A220" s="3" t="s">
        <v>1541</v>
      </c>
      <c r="B220" s="3" t="s">
        <v>1541</v>
      </c>
      <c r="C220" s="3" t="s">
        <v>1540</v>
      </c>
      <c r="D220" s="4">
        <v>3.2010000000000001</v>
      </c>
      <c r="E220" s="4">
        <v>25</v>
      </c>
      <c r="F220" s="4">
        <v>22.98</v>
      </c>
      <c r="G220" s="4">
        <v>52.05</v>
      </c>
      <c r="H220" s="5">
        <f t="shared" si="3"/>
        <v>2.2650130548302871</v>
      </c>
      <c r="I220" s="6" t="str">
        <f>HYPERLINK("http://genome.ucsc.edu/cgi-bin/hgTracks?clade=vertebrate&amp;org=Zebrafish&amp;db=danRer7&amp;position=chr13:46088630-46095477","chr13:46088630-46095477")</f>
        <v>chr13:46088630-46095477</v>
      </c>
      <c r="J220" s="6" t="str">
        <f>HYPERLINK("http://www.ncbi.nlm.nih.gov/entrez/query.fcgi?db=gene&amp;cmd=Retrieve&amp;list_uids=724003","724003")</f>
        <v>724003</v>
      </c>
      <c r="K220" s="6" t="str">
        <f>HYPERLINK("http://www.ncbi.nlm.nih.gov/entrez/query.fcgi?cmd=Search&amp;db=Nucleotide&amp;term=NM_001045308","NM_001045308")</f>
        <v>NM_001045308</v>
      </c>
      <c r="L220" s="4" t="s">
        <v>74</v>
      </c>
      <c r="M220" s="4">
        <v>46088630</v>
      </c>
      <c r="N220" s="4">
        <v>46095477</v>
      </c>
      <c r="O220" s="4" t="s">
        <v>19</v>
      </c>
      <c r="P220" s="3" t="s">
        <v>65</v>
      </c>
      <c r="Q220" s="3" t="s">
        <v>66</v>
      </c>
      <c r="R220" s="3" t="s">
        <v>67</v>
      </c>
      <c r="S220" s="3" t="s">
        <v>68</v>
      </c>
      <c r="T220" s="3" t="s">
        <v>24</v>
      </c>
      <c r="U220" s="3" t="s">
        <v>25</v>
      </c>
      <c r="V220" s="4"/>
    </row>
    <row r="221" spans="1:22" customFormat="1" x14ac:dyDescent="0.15">
      <c r="A221" s="3" t="s">
        <v>1304</v>
      </c>
      <c r="B221" s="3" t="s">
        <v>1304</v>
      </c>
      <c r="C221" s="3" t="s">
        <v>1303</v>
      </c>
      <c r="D221" s="4">
        <v>1.421</v>
      </c>
      <c r="E221" s="4">
        <v>3.01</v>
      </c>
      <c r="F221" s="4">
        <v>2.5499999999999998</v>
      </c>
      <c r="G221" s="4">
        <v>5.77</v>
      </c>
      <c r="H221" s="5">
        <f t="shared" si="3"/>
        <v>2.2627450980392156</v>
      </c>
      <c r="I221" s="6" t="str">
        <f>HYPERLINK("http://genome.ucsc.edu/cgi-bin/hgTracks?clade=vertebrate&amp;org=Zebrafish&amp;db=danRer7&amp;position=chr22:10325708-10329366","chr22:10325708-10329366")</f>
        <v>chr22:10325708-10329366</v>
      </c>
      <c r="J221" s="6" t="str">
        <f>HYPERLINK("http://www.ncbi.nlm.nih.gov/entrez/query.fcgi?db=gene&amp;cmd=Retrieve&amp;list_uids=100008047","100008047")</f>
        <v>100008047</v>
      </c>
      <c r="K221" s="6" t="str">
        <f>HYPERLINK("http://www.ncbi.nlm.nih.gov/entrez/query.fcgi?cmd=Search&amp;db=Nucleotide&amp;term=NM_001080994","NM_001080994")</f>
        <v>NM_001080994</v>
      </c>
      <c r="L221" s="4" t="s">
        <v>103</v>
      </c>
      <c r="M221" s="4">
        <v>10325708</v>
      </c>
      <c r="N221" s="4">
        <v>10329366</v>
      </c>
      <c r="O221" s="4" t="s">
        <v>23</v>
      </c>
      <c r="P221" s="3" t="s">
        <v>864</v>
      </c>
      <c r="Q221" s="3" t="s">
        <v>865</v>
      </c>
      <c r="R221" s="3" t="s">
        <v>866</v>
      </c>
      <c r="S221" s="3" t="s">
        <v>867</v>
      </c>
      <c r="T221" s="3" t="s">
        <v>862</v>
      </c>
      <c r="U221" s="3" t="s">
        <v>863</v>
      </c>
      <c r="V221" s="4"/>
    </row>
    <row r="222" spans="1:22" customFormat="1" x14ac:dyDescent="0.15">
      <c r="A222" s="3" t="s">
        <v>1579</v>
      </c>
      <c r="B222" s="3" t="s">
        <v>1579</v>
      </c>
      <c r="C222" s="3" t="s">
        <v>1578</v>
      </c>
      <c r="D222" s="4">
        <v>3.1179999999999999</v>
      </c>
      <c r="E222" s="4">
        <v>3.9</v>
      </c>
      <c r="F222" s="4">
        <v>2.89</v>
      </c>
      <c r="G222" s="4">
        <v>6.52</v>
      </c>
      <c r="H222" s="5">
        <f t="shared" si="3"/>
        <v>2.2560553633217992</v>
      </c>
      <c r="I222" s="6" t="str">
        <f>HYPERLINK("http://genome.ucsc.edu/cgi-bin/hgTracks?clade=vertebrate&amp;org=Zebrafish&amp;db=danRer7&amp;position=chr24:40131818-40158383","chr24:40131818-40158383")</f>
        <v>chr24:40131818-40158383</v>
      </c>
      <c r="J222" s="6" t="str">
        <f>HYPERLINK("http://www.ncbi.nlm.nih.gov/entrez/query.fcgi?db=gene&amp;cmd=Retrieve&amp;list_uids=567809","567809")</f>
        <v>567809</v>
      </c>
      <c r="K222" s="6" t="str">
        <f>HYPERLINK("http://www.ncbi.nlm.nih.gov/entrez/query.fcgi?cmd=Search&amp;db=Nucleotide&amp;term=NM_001110474","NM_001110474")</f>
        <v>NM_001110474</v>
      </c>
      <c r="L222" s="4" t="s">
        <v>69</v>
      </c>
      <c r="M222" s="4">
        <v>40131818</v>
      </c>
      <c r="N222" s="4">
        <v>40158383</v>
      </c>
      <c r="O222" s="4" t="s">
        <v>19</v>
      </c>
      <c r="P222" s="3" t="s">
        <v>1265</v>
      </c>
      <c r="Q222" s="3" t="s">
        <v>1266</v>
      </c>
      <c r="R222" s="3" t="s">
        <v>75</v>
      </c>
      <c r="S222" s="3" t="s">
        <v>76</v>
      </c>
      <c r="T222" s="3" t="s">
        <v>1267</v>
      </c>
      <c r="U222" s="3" t="s">
        <v>1268</v>
      </c>
      <c r="V222" s="4"/>
    </row>
    <row r="223" spans="1:22" customFormat="1" x14ac:dyDescent="0.15">
      <c r="A223" s="3" t="s">
        <v>869</v>
      </c>
      <c r="B223" s="3" t="s">
        <v>870</v>
      </c>
      <c r="C223" s="3" t="s">
        <v>868</v>
      </c>
      <c r="D223" s="4">
        <v>3.4769999999999999</v>
      </c>
      <c r="E223" s="4">
        <v>9.85</v>
      </c>
      <c r="F223" s="4">
        <v>7.59</v>
      </c>
      <c r="G223" s="4">
        <v>17.12</v>
      </c>
      <c r="H223" s="5">
        <f t="shared" si="3"/>
        <v>2.2555994729907773</v>
      </c>
      <c r="I223" s="6" t="str">
        <f>HYPERLINK("http://genome.ucsc.edu/cgi-bin/hgTracks?clade=vertebrate&amp;org=Zebrafish&amp;db=danRer7&amp;position=chr9:28431882-28444071","chr9:28431882-28444071")</f>
        <v>chr9:28431882-28444071</v>
      </c>
      <c r="J223" s="6" t="str">
        <f>HYPERLINK("http://www.ncbi.nlm.nih.gov/entrez/query.fcgi?db=gene&amp;cmd=Retrieve&amp;list_uids=393905","393905")</f>
        <v>393905</v>
      </c>
      <c r="K223" s="6" t="str">
        <f>HYPERLINK("http://www.ncbi.nlm.nih.gov/entrez/query.fcgi?cmd=Search&amp;db=Nucleotide&amp;term=NM_200931","NM_200931")</f>
        <v>NM_200931</v>
      </c>
      <c r="L223" s="4" t="s">
        <v>22</v>
      </c>
      <c r="M223" s="4">
        <v>28431882</v>
      </c>
      <c r="N223" s="4">
        <v>28444071</v>
      </c>
      <c r="O223" s="4" t="s">
        <v>19</v>
      </c>
      <c r="P223" s="4"/>
      <c r="Q223" s="4"/>
      <c r="R223" s="3" t="s">
        <v>620</v>
      </c>
      <c r="S223" s="3" t="s">
        <v>621</v>
      </c>
      <c r="T223" s="3" t="s">
        <v>24</v>
      </c>
      <c r="U223" s="3" t="s">
        <v>25</v>
      </c>
      <c r="V223" s="4"/>
    </row>
    <row r="224" spans="1:22" customFormat="1" x14ac:dyDescent="0.15">
      <c r="A224" s="3" t="s">
        <v>689</v>
      </c>
      <c r="B224" s="3" t="s">
        <v>690</v>
      </c>
      <c r="C224" s="3" t="s">
        <v>688</v>
      </c>
      <c r="D224" s="4">
        <v>0.79400000000000004</v>
      </c>
      <c r="E224" s="4">
        <v>2.54</v>
      </c>
      <c r="F224" s="4">
        <v>1.81</v>
      </c>
      <c r="G224" s="4">
        <v>4.08</v>
      </c>
      <c r="H224" s="5">
        <f t="shared" si="3"/>
        <v>2.2541436464088398</v>
      </c>
      <c r="I224" s="6" t="str">
        <f>HYPERLINK("http://genome.ucsc.edu/cgi-bin/hgTracks?clade=vertebrate&amp;org=Zebrafish&amp;db=danRer7&amp;position=chr1:62326-66662","chr1:62326-66662")</f>
        <v>chr1:62326-66662</v>
      </c>
      <c r="J224" s="6" t="str">
        <f>HYPERLINK("http://www.ncbi.nlm.nih.gov/entrez/query.fcgi?db=gene&amp;cmd=Retrieve&amp;list_uids=406711","406711")</f>
        <v>406711</v>
      </c>
      <c r="K224" s="6" t="str">
        <f>HYPERLINK("http://www.ncbi.nlm.nih.gov/entrez/query.fcgi?cmd=Search&amp;db=Nucleotide&amp;term=NM_213402","NM_213402")</f>
        <v>NM_213402</v>
      </c>
      <c r="L224" s="4" t="s">
        <v>63</v>
      </c>
      <c r="M224" s="4">
        <v>62326</v>
      </c>
      <c r="N224" s="4">
        <v>66662</v>
      </c>
      <c r="O224" s="4" t="s">
        <v>19</v>
      </c>
      <c r="P224" s="3" t="s">
        <v>691</v>
      </c>
      <c r="Q224" s="3" t="s">
        <v>692</v>
      </c>
      <c r="R224" s="3" t="s">
        <v>137</v>
      </c>
      <c r="S224" s="3" t="s">
        <v>138</v>
      </c>
      <c r="T224" s="3" t="s">
        <v>693</v>
      </c>
      <c r="U224" s="3" t="s">
        <v>694</v>
      </c>
      <c r="V224" s="4"/>
    </row>
    <row r="225" spans="1:22" customFormat="1" x14ac:dyDescent="0.15">
      <c r="A225" s="3" t="s">
        <v>1069</v>
      </c>
      <c r="B225" s="3" t="s">
        <v>1070</v>
      </c>
      <c r="C225" s="3" t="s">
        <v>1068</v>
      </c>
      <c r="D225" s="4">
        <v>2.2749999999999999</v>
      </c>
      <c r="E225" s="4">
        <v>5.44</v>
      </c>
      <c r="F225" s="4">
        <v>4.58</v>
      </c>
      <c r="G225" s="4">
        <v>10.31</v>
      </c>
      <c r="H225" s="5">
        <f t="shared" si="3"/>
        <v>2.2510917030567685</v>
      </c>
      <c r="I225" s="6" t="str">
        <f>HYPERLINK("http://genome.ucsc.edu/cgi-bin/hgTracks?clade=vertebrate&amp;org=Zebrafish&amp;db=danRer7&amp;position=chr23:9615429-9658845","chr23:9615429-9658845")</f>
        <v>chr23:9615429-9658845</v>
      </c>
      <c r="J225" s="6" t="str">
        <f>HYPERLINK("http://www.ncbi.nlm.nih.gov/entrez/query.fcgi?db=gene&amp;cmd=Retrieve&amp;list_uids=334206","334206")</f>
        <v>334206</v>
      </c>
      <c r="K225" s="6" t="str">
        <f>HYPERLINK("http://www.ncbi.nlm.nih.gov/entrez/query.fcgi?cmd=Search&amp;db=Nucleotide&amp;term=NM_199872","NM_199872")</f>
        <v>NM_199872</v>
      </c>
      <c r="L225" s="4" t="s">
        <v>80</v>
      </c>
      <c r="M225" s="4">
        <v>9615429</v>
      </c>
      <c r="N225" s="4">
        <v>9658845</v>
      </c>
      <c r="O225" s="4" t="s">
        <v>23</v>
      </c>
      <c r="P225" s="3" t="s">
        <v>1066</v>
      </c>
      <c r="Q225" s="3" t="s">
        <v>1067</v>
      </c>
      <c r="R225" s="4"/>
      <c r="S225" s="4"/>
      <c r="T225" s="4"/>
      <c r="U225" s="4"/>
      <c r="V225" s="4"/>
    </row>
    <row r="226" spans="1:22" customFormat="1" x14ac:dyDescent="0.15">
      <c r="A226" s="3" t="s">
        <v>1253</v>
      </c>
      <c r="B226" s="3" t="s">
        <v>1254</v>
      </c>
      <c r="C226" s="3" t="s">
        <v>1252</v>
      </c>
      <c r="D226" s="4">
        <v>2.5419999999999998</v>
      </c>
      <c r="E226" s="4">
        <v>9.9499999999999993</v>
      </c>
      <c r="F226" s="4">
        <v>8.32</v>
      </c>
      <c r="G226" s="4">
        <v>18.690000000000001</v>
      </c>
      <c r="H226" s="5">
        <f t="shared" si="3"/>
        <v>2.2463942307692308</v>
      </c>
      <c r="I226" s="6" t="str">
        <f>HYPERLINK("http://genome.ucsc.edu/cgi-bin/hgTracks?clade=vertebrate&amp;org=Zebrafish&amp;db=danRer7&amp;position=chr12:35471440-35485120","chr12:35471440-35485120")</f>
        <v>chr12:35471440-35485120</v>
      </c>
      <c r="J226" s="6" t="str">
        <f>HYPERLINK("http://www.ncbi.nlm.nih.gov/entrez/query.fcgi?db=gene&amp;cmd=Retrieve&amp;list_uids=334757","334757")</f>
        <v>334757</v>
      </c>
      <c r="K226" s="6" t="str">
        <f>HYPERLINK("http://www.ncbi.nlm.nih.gov/entrez/query.fcgi?cmd=Search&amp;db=Nucleotide&amp;term=NM_212730","NM_212730")</f>
        <v>NM_212730</v>
      </c>
      <c r="L226" s="4" t="s">
        <v>57</v>
      </c>
      <c r="M226" s="4">
        <v>35471440</v>
      </c>
      <c r="N226" s="4">
        <v>35485120</v>
      </c>
      <c r="O226" s="4" t="s">
        <v>23</v>
      </c>
      <c r="P226" s="3" t="s">
        <v>1248</v>
      </c>
      <c r="Q226" s="3" t="s">
        <v>1249</v>
      </c>
      <c r="R226" s="3" t="s">
        <v>81</v>
      </c>
      <c r="S226" s="3" t="s">
        <v>82</v>
      </c>
      <c r="T226" s="3" t="s">
        <v>1250</v>
      </c>
      <c r="U226" s="3" t="s">
        <v>1251</v>
      </c>
      <c r="V226" s="4"/>
    </row>
    <row r="227" spans="1:22" customFormat="1" x14ac:dyDescent="0.15">
      <c r="A227" s="3" t="s">
        <v>1010</v>
      </c>
      <c r="B227" s="3" t="s">
        <v>1011</v>
      </c>
      <c r="C227" s="3" t="s">
        <v>1009</v>
      </c>
      <c r="D227" s="4">
        <v>3.6</v>
      </c>
      <c r="E227" s="4">
        <v>3.19</v>
      </c>
      <c r="F227" s="4">
        <v>2.56</v>
      </c>
      <c r="G227" s="4">
        <v>5.73</v>
      </c>
      <c r="H227" s="5">
        <f t="shared" si="3"/>
        <v>2.23828125</v>
      </c>
      <c r="I227" s="6" t="str">
        <f>HYPERLINK("http://genome.ucsc.edu/cgi-bin/hgTracks?clade=vertebrate&amp;org=Zebrafish&amp;db=danRer7&amp;position=chr4:20676918-20680797","chr4:20676918-20680797")</f>
        <v>chr4:20676918-20680797</v>
      </c>
      <c r="J227" s="6" t="str">
        <f>HYPERLINK("http://www.ncbi.nlm.nih.gov/entrez/query.fcgi?db=gene&amp;cmd=Retrieve&amp;list_uids=58097","58097")</f>
        <v>58097</v>
      </c>
      <c r="K227" s="6" t="str">
        <f>HYPERLINK("http://www.ncbi.nlm.nih.gov/entrez/query.fcgi?cmd=Search&amp;db=Nucleotide&amp;term=NM_131576","NM_131576")</f>
        <v>NM_131576</v>
      </c>
      <c r="L227" s="4" t="s">
        <v>77</v>
      </c>
      <c r="M227" s="4">
        <v>20676918</v>
      </c>
      <c r="N227" s="4">
        <v>20680797</v>
      </c>
      <c r="O227" s="4" t="s">
        <v>23</v>
      </c>
      <c r="P227" s="3" t="s">
        <v>1012</v>
      </c>
      <c r="Q227" s="3" t="s">
        <v>1013</v>
      </c>
      <c r="R227" s="3" t="s">
        <v>840</v>
      </c>
      <c r="S227" s="3" t="s">
        <v>841</v>
      </c>
      <c r="T227" s="3" t="s">
        <v>230</v>
      </c>
      <c r="U227" s="3" t="s">
        <v>231</v>
      </c>
      <c r="V227" s="4"/>
    </row>
    <row r="228" spans="1:22" customFormat="1" x14ac:dyDescent="0.15">
      <c r="A228" s="3" t="s">
        <v>588</v>
      </c>
      <c r="B228" s="3" t="s">
        <v>589</v>
      </c>
      <c r="C228" s="3" t="s">
        <v>587</v>
      </c>
      <c r="D228" s="4">
        <v>2.6640000000000001</v>
      </c>
      <c r="E228" s="4">
        <v>2.77</v>
      </c>
      <c r="F228" s="4">
        <v>2.02</v>
      </c>
      <c r="G228" s="4">
        <v>4.5199999999999996</v>
      </c>
      <c r="H228" s="5">
        <f t="shared" si="3"/>
        <v>2.2376237623762374</v>
      </c>
      <c r="I228" s="6" t="str">
        <f>HYPERLINK("http://genome.ucsc.edu/cgi-bin/hgTracks?clade=vertebrate&amp;org=Zebrafish&amp;db=danRer7&amp;position=chr1:9142184-9147606","chr1:9142184-9147606")</f>
        <v>chr1:9142184-9147606</v>
      </c>
      <c r="J228" s="6" t="str">
        <f>HYPERLINK("http://www.ncbi.nlm.nih.gov/entrez/query.fcgi?db=gene&amp;cmd=Retrieve&amp;list_uids=378986","378986")</f>
        <v>378986</v>
      </c>
      <c r="K228" s="6" t="str">
        <f>HYPERLINK("http://www.ncbi.nlm.nih.gov/entrez/query.fcgi?cmd=Search&amp;db=Nucleotide&amp;term=NM_001194989","NM_001194989")</f>
        <v>NM_001194989</v>
      </c>
      <c r="L228" s="4" t="s">
        <v>63</v>
      </c>
      <c r="M228" s="4">
        <v>9142184</v>
      </c>
      <c r="N228" s="4">
        <v>9147606</v>
      </c>
      <c r="O228" s="4" t="s">
        <v>19</v>
      </c>
      <c r="P228" s="3" t="s">
        <v>590</v>
      </c>
      <c r="Q228" s="3" t="s">
        <v>591</v>
      </c>
      <c r="R228" s="3" t="s">
        <v>592</v>
      </c>
      <c r="S228" s="3" t="s">
        <v>593</v>
      </c>
      <c r="T228" s="3" t="s">
        <v>594</v>
      </c>
      <c r="U228" s="3" t="s">
        <v>595</v>
      </c>
      <c r="V228" s="4"/>
    </row>
    <row r="229" spans="1:22" customFormat="1" x14ac:dyDescent="0.15">
      <c r="A229" s="7" t="s">
        <v>597</v>
      </c>
      <c r="B229" s="3" t="s">
        <v>598</v>
      </c>
      <c r="C229" s="3" t="s">
        <v>596</v>
      </c>
      <c r="D229" s="4">
        <v>1.33</v>
      </c>
      <c r="E229" s="4">
        <v>0.33</v>
      </c>
      <c r="F229" s="4">
        <v>1.98</v>
      </c>
      <c r="G229" s="4">
        <v>4.43</v>
      </c>
      <c r="H229" s="5">
        <f t="shared" si="3"/>
        <v>2.2373737373737375</v>
      </c>
      <c r="I229" s="6" t="str">
        <f>HYPERLINK("http://genome.ucsc.edu/cgi-bin/hgTracks?clade=vertebrate&amp;org=Zebrafish&amp;db=danRer7&amp;position=chr1:15135018-15136275","chr1:15135018-15136275")</f>
        <v>chr1:15135018-15136275</v>
      </c>
      <c r="J229" s="6" t="str">
        <f>HYPERLINK("http://www.ncbi.nlm.nih.gov/entrez/query.fcgi?db=gene&amp;cmd=Retrieve&amp;list_uids=559630","559630")</f>
        <v>559630</v>
      </c>
      <c r="K229" s="6" t="str">
        <f>HYPERLINK("http://www.ncbi.nlm.nih.gov/entrez/query.fcgi?cmd=Search&amp;db=Nucleotide&amp;term=NM_001037103","NM_001037103")</f>
        <v>NM_001037103</v>
      </c>
      <c r="L229" s="4" t="s">
        <v>63</v>
      </c>
      <c r="M229" s="4">
        <v>15135018</v>
      </c>
      <c r="N229" s="4">
        <v>15136275</v>
      </c>
      <c r="O229" s="4" t="s">
        <v>19</v>
      </c>
      <c r="P229" s="3" t="s">
        <v>599</v>
      </c>
      <c r="Q229" s="3" t="s">
        <v>600</v>
      </c>
      <c r="R229" s="4"/>
      <c r="S229" s="4"/>
      <c r="T229" s="3" t="s">
        <v>193</v>
      </c>
      <c r="U229" s="3" t="s">
        <v>194</v>
      </c>
      <c r="V229" s="4"/>
    </row>
    <row r="230" spans="1:22" customFormat="1" x14ac:dyDescent="0.15">
      <c r="A230" s="3" t="s">
        <v>623</v>
      </c>
      <c r="B230" s="3" t="s">
        <v>624</v>
      </c>
      <c r="C230" s="3" t="s">
        <v>622</v>
      </c>
      <c r="D230" s="4">
        <v>3.5910000000000002</v>
      </c>
      <c r="E230" s="4">
        <v>3.6</v>
      </c>
      <c r="F230" s="4">
        <v>3.57</v>
      </c>
      <c r="G230" s="4">
        <v>7.95</v>
      </c>
      <c r="H230" s="5">
        <f t="shared" si="3"/>
        <v>2.2268907563025211</v>
      </c>
      <c r="I230" s="6" t="str">
        <f>HYPERLINK("http://genome.ucsc.edu/cgi-bin/hgTracks?clade=vertebrate&amp;org=Zebrafish&amp;db=danRer7&amp;position=chr21:6034997-6054777","chr21:6034997-6054777")</f>
        <v>chr21:6034997-6054777</v>
      </c>
      <c r="J230" s="6" t="str">
        <f>HYPERLINK("http://www.ncbi.nlm.nih.gov/entrez/query.fcgi?db=gene&amp;cmd=Retrieve&amp;list_uids=406746","406746")</f>
        <v>406746</v>
      </c>
      <c r="K230" s="6" t="str">
        <f>HYPERLINK("http://www.ncbi.nlm.nih.gov/entrez/query.fcgi?cmd=Search&amp;db=Nucleotide&amp;term=NM_213437","NM_213437")</f>
        <v>NM_213437</v>
      </c>
      <c r="L230" s="4" t="s">
        <v>83</v>
      </c>
      <c r="M230" s="4">
        <v>6034997</v>
      </c>
      <c r="N230" s="4">
        <v>6054777</v>
      </c>
      <c r="O230" s="4" t="s">
        <v>23</v>
      </c>
      <c r="P230" s="3" t="s">
        <v>625</v>
      </c>
      <c r="Q230" s="3" t="s">
        <v>626</v>
      </c>
      <c r="R230" s="3" t="s">
        <v>67</v>
      </c>
      <c r="S230" s="3" t="s">
        <v>68</v>
      </c>
      <c r="T230" s="3" t="s">
        <v>627</v>
      </c>
      <c r="U230" s="3" t="s">
        <v>628</v>
      </c>
      <c r="V230" s="4"/>
    </row>
    <row r="231" spans="1:22" customFormat="1" x14ac:dyDescent="0.15">
      <c r="A231" s="3" t="s">
        <v>1406</v>
      </c>
      <c r="B231" s="3" t="s">
        <v>1407</v>
      </c>
      <c r="C231" s="3" t="s">
        <v>1405</v>
      </c>
      <c r="D231" s="4">
        <v>3.4039999999999999</v>
      </c>
      <c r="E231" s="4">
        <v>76.86</v>
      </c>
      <c r="F231" s="4">
        <v>68.260000000000005</v>
      </c>
      <c r="G231" s="4">
        <v>151.72999999999999</v>
      </c>
      <c r="H231" s="5">
        <f t="shared" si="3"/>
        <v>2.2228244945795486</v>
      </c>
      <c r="I231" s="6" t="str">
        <f>HYPERLINK("http://genome.ucsc.edu/cgi-bin/hgTracks?clade=vertebrate&amp;org=Zebrafish&amp;db=danRer7&amp;position=chr20:19065612-19070182","chr20:19065612-19070182")</f>
        <v>chr20:19065612-19070182</v>
      </c>
      <c r="J231" s="6" t="str">
        <f>HYPERLINK("http://www.ncbi.nlm.nih.gov/entrez/query.fcgi?db=gene&amp;cmd=Retrieve&amp;list_uids=406528","406528")</f>
        <v>406528</v>
      </c>
      <c r="K231" s="6" t="str">
        <f>HYPERLINK("http://www.ncbi.nlm.nih.gov/entrez/query.fcgi?cmd=Search&amp;db=Nucleotide&amp;term=NM_213245","NM_213245")</f>
        <v>NM_213245</v>
      </c>
      <c r="L231" s="4" t="s">
        <v>96</v>
      </c>
      <c r="M231" s="4">
        <v>19065612</v>
      </c>
      <c r="N231" s="4">
        <v>19070182</v>
      </c>
      <c r="O231" s="4" t="s">
        <v>23</v>
      </c>
      <c r="P231" s="3" t="s">
        <v>1167</v>
      </c>
      <c r="Q231" s="3" t="s">
        <v>1168</v>
      </c>
      <c r="R231" s="4"/>
      <c r="S231" s="4"/>
      <c r="T231" s="3" t="s">
        <v>1169</v>
      </c>
      <c r="U231" s="3" t="s">
        <v>1170</v>
      </c>
      <c r="V231" s="4"/>
    </row>
    <row r="232" spans="1:22" customFormat="1" x14ac:dyDescent="0.15">
      <c r="A232" s="3" t="s">
        <v>1506</v>
      </c>
      <c r="B232" s="3" t="s">
        <v>1506</v>
      </c>
      <c r="C232" s="3" t="s">
        <v>1505</v>
      </c>
      <c r="D232" s="4">
        <v>1.2769999999999999</v>
      </c>
      <c r="E232" s="4">
        <v>4.9400000000000004</v>
      </c>
      <c r="F232" s="4">
        <v>3.29</v>
      </c>
      <c r="G232" s="4">
        <v>7.31</v>
      </c>
      <c r="H232" s="5">
        <f t="shared" si="3"/>
        <v>2.2218844984802431</v>
      </c>
      <c r="I232" s="6" t="str">
        <f>HYPERLINK("http://genome.ucsc.edu/cgi-bin/hgTracks?clade=vertebrate&amp;org=Zebrafish&amp;db=danRer7&amp;position=Zv9_NA918:46762-47274","Zv9_NA918:46762-47274")</f>
        <v>Zv9_NA918:46762-47274</v>
      </c>
      <c r="J232" s="6" t="str">
        <f>HYPERLINK("http://www.ncbi.nlm.nih.gov/entrez/query.fcgi?db=gene&amp;cmd=Retrieve&amp;list_uids=445247","445247")</f>
        <v>445247</v>
      </c>
      <c r="K232" s="6" t="str">
        <f>HYPERLINK("http://www.ncbi.nlm.nih.gov/entrez/query.fcgi?cmd=Search&amp;db=Nucleotide&amp;term=NM_001003641","NM_001003641")</f>
        <v>NM_001003641</v>
      </c>
      <c r="L232" s="4" t="s">
        <v>1507</v>
      </c>
      <c r="M232" s="4">
        <v>46762</v>
      </c>
      <c r="N232" s="4">
        <v>47274</v>
      </c>
      <c r="O232" s="4" t="s">
        <v>19</v>
      </c>
      <c r="P232" s="3" t="s">
        <v>65</v>
      </c>
      <c r="Q232" s="3" t="s">
        <v>66</v>
      </c>
      <c r="R232" s="4"/>
      <c r="S232" s="4"/>
      <c r="T232" s="4"/>
      <c r="U232" s="4"/>
      <c r="V232" s="4"/>
    </row>
    <row r="233" spans="1:22" customFormat="1" x14ac:dyDescent="0.15">
      <c r="A233" s="3" t="s">
        <v>1555</v>
      </c>
      <c r="B233" s="3" t="s">
        <v>1555</v>
      </c>
      <c r="C233" s="3" t="s">
        <v>1554</v>
      </c>
      <c r="D233" s="4">
        <v>2.84</v>
      </c>
      <c r="E233" s="4">
        <v>2.33</v>
      </c>
      <c r="F233" s="4">
        <v>1.97</v>
      </c>
      <c r="G233" s="4">
        <v>4.37</v>
      </c>
      <c r="H233" s="5">
        <f t="shared" si="3"/>
        <v>2.218274111675127</v>
      </c>
      <c r="I233" s="6" t="str">
        <f>HYPERLINK("http://genome.ucsc.edu/cgi-bin/hgTracks?clade=vertebrate&amp;org=Zebrafish&amp;db=danRer7&amp;position=chr5:191700-193982","chr5:191700-193982")</f>
        <v>chr5:191700-193982</v>
      </c>
      <c r="J233" s="6" t="str">
        <f>HYPERLINK("http://www.ncbi.nlm.nih.gov/entrez/query.fcgi?db=gene&amp;cmd=Retrieve&amp;list_uids=767776","767776")</f>
        <v>767776</v>
      </c>
      <c r="K233" s="6" t="str">
        <f>HYPERLINK("http://www.ncbi.nlm.nih.gov/entrez/query.fcgi?cmd=Search&amp;db=Nucleotide&amp;term=NM_001076743","NM_001076743")</f>
        <v>NM_001076743</v>
      </c>
      <c r="L233" s="4" t="s">
        <v>29</v>
      </c>
      <c r="M233" s="4">
        <v>191700</v>
      </c>
      <c r="N233" s="4">
        <v>193982</v>
      </c>
      <c r="O233" s="4" t="s">
        <v>19</v>
      </c>
      <c r="P233" s="3" t="s">
        <v>151</v>
      </c>
      <c r="Q233" s="3" t="s">
        <v>152</v>
      </c>
      <c r="R233" s="3" t="s">
        <v>61</v>
      </c>
      <c r="S233" s="3" t="s">
        <v>62</v>
      </c>
      <c r="T233" s="3" t="s">
        <v>259</v>
      </c>
      <c r="U233" s="3" t="s">
        <v>260</v>
      </c>
      <c r="V233" s="4"/>
    </row>
    <row r="234" spans="1:22" customFormat="1" x14ac:dyDescent="0.15">
      <c r="A234" s="3" t="s">
        <v>807</v>
      </c>
      <c r="B234" s="3" t="s">
        <v>808</v>
      </c>
      <c r="C234" s="3" t="s">
        <v>806</v>
      </c>
      <c r="D234" s="4">
        <v>0.93100000000000005</v>
      </c>
      <c r="E234" s="4">
        <v>2.4700000000000002</v>
      </c>
      <c r="F234" s="4">
        <v>2.72</v>
      </c>
      <c r="G234" s="4">
        <v>6.03</v>
      </c>
      <c r="H234" s="5">
        <f t="shared" si="3"/>
        <v>2.2169117647058822</v>
      </c>
      <c r="I234" s="6" t="str">
        <f>HYPERLINK("http://genome.ucsc.edu/cgi-bin/hgTracks?clade=vertebrate&amp;org=Zebrafish&amp;db=danRer7&amp;position=chr22:2191909-2201651","chr22:2191909-2201651")</f>
        <v>chr22:2191909-2201651</v>
      </c>
      <c r="J234" s="6" t="str">
        <f>HYPERLINK("http://www.ncbi.nlm.nih.gov/entrez/query.fcgi?db=gene&amp;cmd=Retrieve&amp;list_uids=792168","792168")</f>
        <v>792168</v>
      </c>
      <c r="K234" s="6" t="str">
        <f>HYPERLINK("http://www.ncbi.nlm.nih.gov/entrez/query.fcgi?cmd=Search&amp;db=Nucleotide&amp;term=NM_001100049","NM_001100049")</f>
        <v>NM_001100049</v>
      </c>
      <c r="L234" s="4" t="s">
        <v>103</v>
      </c>
      <c r="M234" s="4">
        <v>2191909</v>
      </c>
      <c r="N234" s="4">
        <v>2201651</v>
      </c>
      <c r="O234" s="4" t="s">
        <v>19</v>
      </c>
      <c r="P234" s="4"/>
      <c r="Q234" s="4"/>
      <c r="R234" s="4"/>
      <c r="S234" s="4"/>
      <c r="T234" s="4"/>
      <c r="U234" s="4"/>
      <c r="V234" s="4"/>
    </row>
    <row r="235" spans="1:22" customFormat="1" x14ac:dyDescent="0.15">
      <c r="A235" s="3" t="s">
        <v>1619</v>
      </c>
      <c r="B235" s="3" t="s">
        <v>1620</v>
      </c>
      <c r="C235" s="3" t="s">
        <v>1618</v>
      </c>
      <c r="D235" s="4">
        <v>6.4409999999999998</v>
      </c>
      <c r="E235" s="4">
        <v>20.37</v>
      </c>
      <c r="F235" s="4">
        <v>19.03</v>
      </c>
      <c r="G235" s="4">
        <v>41.98</v>
      </c>
      <c r="H235" s="5">
        <f t="shared" si="3"/>
        <v>2.2059905412506566</v>
      </c>
      <c r="I235" s="6" t="str">
        <f>HYPERLINK("http://genome.ucsc.edu/cgi-bin/hgTracks?clade=vertebrate&amp;org=Zebrafish&amp;db=danRer7&amp;position=chr17:15931678-15949621","chr17:15931678-15949621")</f>
        <v>chr17:15931678-15949621</v>
      </c>
      <c r="J235" s="6" t="str">
        <f>HYPERLINK("http://www.ncbi.nlm.nih.gov/entrez/query.fcgi?db=gene&amp;cmd=Retrieve&amp;list_uids=571403","571403")</f>
        <v>571403</v>
      </c>
      <c r="K235" s="6" t="str">
        <f>HYPERLINK("http://www.ncbi.nlm.nih.gov/entrez/query.fcgi?cmd=Search&amp;db=Nucleotide&amp;term=NM_001080054","NM_001080054")</f>
        <v>NM_001080054</v>
      </c>
      <c r="L235" s="4" t="s">
        <v>84</v>
      </c>
      <c r="M235" s="4">
        <v>15931678</v>
      </c>
      <c r="N235" s="4">
        <v>15949621</v>
      </c>
      <c r="O235" s="4" t="s">
        <v>23</v>
      </c>
      <c r="P235" s="3" t="s">
        <v>65</v>
      </c>
      <c r="Q235" s="3" t="s">
        <v>66</v>
      </c>
      <c r="R235" s="3" t="s">
        <v>137</v>
      </c>
      <c r="S235" s="3" t="s">
        <v>138</v>
      </c>
      <c r="T235" s="3" t="s">
        <v>153</v>
      </c>
      <c r="U235" s="3" t="s">
        <v>154</v>
      </c>
      <c r="V235" s="4"/>
    </row>
    <row r="236" spans="1:22" customFormat="1" x14ac:dyDescent="0.15">
      <c r="A236" s="3" t="s">
        <v>1031</v>
      </c>
      <c r="B236" s="3" t="s">
        <v>1032</v>
      </c>
      <c r="C236" s="3" t="s">
        <v>1030</v>
      </c>
      <c r="D236" s="4">
        <v>1.323</v>
      </c>
      <c r="E236" s="4">
        <v>19.73</v>
      </c>
      <c r="F236" s="4">
        <v>14.17</v>
      </c>
      <c r="G236" s="4">
        <v>31.22</v>
      </c>
      <c r="H236" s="5">
        <f t="shared" si="3"/>
        <v>2.2032462949894143</v>
      </c>
      <c r="I236" s="6" t="str">
        <f>HYPERLINK("http://genome.ucsc.edu/cgi-bin/hgTracks?clade=vertebrate&amp;org=Zebrafish&amp;db=danRer7&amp;position=chr17:12806077-12810148","chr17:12806077-12810148")</f>
        <v>chr17:12806077-12810148</v>
      </c>
      <c r="J236" s="6" t="str">
        <f>HYPERLINK("http://www.ncbi.nlm.nih.gov/entrez/query.fcgi?db=gene&amp;cmd=Retrieve&amp;list_uids=323099","323099")</f>
        <v>323099</v>
      </c>
      <c r="K236" s="6" t="str">
        <f>HYPERLINK("http://www.ncbi.nlm.nih.gov/entrez/query.fcgi?cmd=Search&amp;db=Nucleotide&amp;term=NM_199629","NM_199629")</f>
        <v>NM_199629</v>
      </c>
      <c r="L236" s="4" t="s">
        <v>84</v>
      </c>
      <c r="M236" s="4">
        <v>12806077</v>
      </c>
      <c r="N236" s="4">
        <v>12810148</v>
      </c>
      <c r="O236" s="4" t="s">
        <v>23</v>
      </c>
      <c r="P236" s="4"/>
      <c r="Q236" s="4"/>
      <c r="R236" s="4"/>
      <c r="S236" s="4"/>
      <c r="T236" s="4"/>
      <c r="U236" s="4"/>
      <c r="V236" s="4"/>
    </row>
    <row r="237" spans="1:22" customFormat="1" x14ac:dyDescent="0.15">
      <c r="A237" s="3" t="s">
        <v>1231</v>
      </c>
      <c r="B237" s="3" t="s">
        <v>1232</v>
      </c>
      <c r="C237" s="3" t="s">
        <v>1230</v>
      </c>
      <c r="D237" s="4">
        <v>2.153</v>
      </c>
      <c r="E237" s="4">
        <v>36.61</v>
      </c>
      <c r="F237" s="4">
        <v>21.87</v>
      </c>
      <c r="G237" s="4">
        <v>48.18</v>
      </c>
      <c r="H237" s="5">
        <f t="shared" si="3"/>
        <v>2.2030178326474621</v>
      </c>
      <c r="I237" s="6" t="str">
        <f>HYPERLINK("http://genome.ucsc.edu/cgi-bin/hgTracks?clade=vertebrate&amp;org=Zebrafish&amp;db=danRer7&amp;position=chr9:17822431-17850807","chr9:17822431-17850807")</f>
        <v>chr9:17822431-17850807</v>
      </c>
      <c r="J237" s="6" t="str">
        <f>HYPERLINK("http://www.ncbi.nlm.nih.gov/entrez/query.fcgi?db=gene&amp;cmd=Retrieve&amp;list_uids=368684","368684")</f>
        <v>368684</v>
      </c>
      <c r="K237" s="6" t="str">
        <f>HYPERLINK("http://www.ncbi.nlm.nih.gov/entrez/query.fcgi?cmd=Search&amp;db=Nucleotide&amp;term=NM_001005304","NM_001005304")</f>
        <v>NM_001005304</v>
      </c>
      <c r="L237" s="4" t="s">
        <v>22</v>
      </c>
      <c r="M237" s="4">
        <v>17822431</v>
      </c>
      <c r="N237" s="4">
        <v>17850807</v>
      </c>
      <c r="O237" s="4" t="s">
        <v>23</v>
      </c>
      <c r="P237" s="4"/>
      <c r="Q237" s="4"/>
      <c r="R237" s="4"/>
      <c r="S237" s="4"/>
      <c r="T237" s="3" t="s">
        <v>88</v>
      </c>
      <c r="U237" s="3" t="s">
        <v>89</v>
      </c>
      <c r="V237" s="4"/>
    </row>
    <row r="238" spans="1:22" customFormat="1" x14ac:dyDescent="0.15">
      <c r="A238" s="3" t="s">
        <v>720</v>
      </c>
      <c r="B238" s="3" t="s">
        <v>721</v>
      </c>
      <c r="C238" s="3" t="s">
        <v>719</v>
      </c>
      <c r="D238" s="4">
        <v>2.6360000000000001</v>
      </c>
      <c r="E238" s="4">
        <v>40.659999999999997</v>
      </c>
      <c r="F238" s="4">
        <v>32.6</v>
      </c>
      <c r="G238" s="4">
        <v>71.7</v>
      </c>
      <c r="H238" s="5">
        <f t="shared" si="3"/>
        <v>2.1993865030674846</v>
      </c>
      <c r="I238" s="6" t="str">
        <f>HYPERLINK("http://genome.ucsc.edu/cgi-bin/hgTracks?clade=vertebrate&amp;org=Zebrafish&amp;db=danRer7&amp;position=chr24:24567500-24578991","chr24:24567500-24578991")</f>
        <v>chr24:24567500-24578991</v>
      </c>
      <c r="J238" s="6" t="str">
        <f>HYPERLINK("http://www.ncbi.nlm.nih.gov/entrez/query.fcgi?db=gene&amp;cmd=Retrieve&amp;list_uids=259189","259189")</f>
        <v>259189</v>
      </c>
      <c r="K238" s="6" t="str">
        <f>HYPERLINK("http://www.ncbi.nlm.nih.gov/entrez/query.fcgi?cmd=Search&amp;db=Nucleotide&amp;term=NM_152966","NM_152966")</f>
        <v>NM_152966</v>
      </c>
      <c r="L238" s="4" t="s">
        <v>69</v>
      </c>
      <c r="M238" s="4">
        <v>24567500</v>
      </c>
      <c r="N238" s="4">
        <v>24578991</v>
      </c>
      <c r="O238" s="4" t="s">
        <v>23</v>
      </c>
      <c r="P238" s="3" t="s">
        <v>722</v>
      </c>
      <c r="Q238" s="3" t="s">
        <v>723</v>
      </c>
      <c r="R238" s="4"/>
      <c r="S238" s="4"/>
      <c r="T238" s="3" t="s">
        <v>724</v>
      </c>
      <c r="U238" s="3" t="s">
        <v>725</v>
      </c>
      <c r="V238" s="4"/>
    </row>
    <row r="239" spans="1:22" customFormat="1" x14ac:dyDescent="0.15">
      <c r="A239" s="3" t="s">
        <v>1593</v>
      </c>
      <c r="B239" s="3" t="s">
        <v>1593</v>
      </c>
      <c r="C239" s="3" t="s">
        <v>1592</v>
      </c>
      <c r="D239" s="4">
        <v>2.2040000000000002</v>
      </c>
      <c r="E239" s="4">
        <v>7.1</v>
      </c>
      <c r="F239" s="4">
        <v>8.76</v>
      </c>
      <c r="G239" s="4">
        <v>19.25</v>
      </c>
      <c r="H239" s="5">
        <f t="shared" si="3"/>
        <v>2.1974885844748857</v>
      </c>
      <c r="I239" s="6" t="str">
        <f>HYPERLINK("http://genome.ucsc.edu/cgi-bin/hgTracks?clade=vertebrate&amp;org=Zebrafish&amp;db=danRer7&amp;position=chr19:4655563-4657766","chr19:4655563-4657766")</f>
        <v>chr19:4655563-4657766</v>
      </c>
      <c r="J239" s="6" t="str">
        <f>HYPERLINK("http://www.ncbi.nlm.nih.gov/entrez/query.fcgi?db=gene&amp;cmd=Retrieve&amp;list_uids=798034","798034")</f>
        <v>798034</v>
      </c>
      <c r="K239" s="6" t="str">
        <f>HYPERLINK("http://www.ncbi.nlm.nih.gov/entrez/query.fcgi?cmd=Search&amp;db=Nucleotide&amp;term=NM_001114461","NM_001114461")</f>
        <v>NM_001114461</v>
      </c>
      <c r="L239" s="4" t="s">
        <v>70</v>
      </c>
      <c r="M239" s="4">
        <v>4655563</v>
      </c>
      <c r="N239" s="4">
        <v>4657766</v>
      </c>
      <c r="O239" s="4" t="s">
        <v>23</v>
      </c>
      <c r="P239" s="3" t="s">
        <v>65</v>
      </c>
      <c r="Q239" s="3" t="s">
        <v>66</v>
      </c>
      <c r="R239" s="3" t="s">
        <v>67</v>
      </c>
      <c r="S239" s="3" t="s">
        <v>68</v>
      </c>
      <c r="T239" s="3" t="s">
        <v>24</v>
      </c>
      <c r="U239" s="3" t="s">
        <v>25</v>
      </c>
      <c r="V239" s="4"/>
    </row>
    <row r="240" spans="1:22" customFormat="1" x14ac:dyDescent="0.15">
      <c r="A240" s="3" t="s">
        <v>1612</v>
      </c>
      <c r="B240" s="3" t="s">
        <v>1612</v>
      </c>
      <c r="C240" s="3" t="s">
        <v>1611</v>
      </c>
      <c r="D240" s="4">
        <v>1.1759999999999999</v>
      </c>
      <c r="E240" s="4">
        <v>235.84</v>
      </c>
      <c r="F240" s="4">
        <v>206.49</v>
      </c>
      <c r="G240" s="4">
        <v>451.91</v>
      </c>
      <c r="H240" s="5">
        <f t="shared" si="3"/>
        <v>2.1885321323066491</v>
      </c>
      <c r="I240" s="6" t="str">
        <f>HYPERLINK("http://genome.ucsc.edu/cgi-bin/hgTracks?clade=vertebrate&amp;org=Zebrafish&amp;db=danRer7&amp;position=chr3:32236683-32237975","chr3:32236683-32237975")</f>
        <v>chr3:32236683-32237975</v>
      </c>
      <c r="J240" s="6" t="str">
        <f>HYPERLINK("http://www.ncbi.nlm.nih.gov/entrez/query.fcgi?db=gene&amp;cmd=Retrieve&amp;list_uids=436651","436651")</f>
        <v>436651</v>
      </c>
      <c r="K240" s="6" t="str">
        <f>HYPERLINK("http://www.ncbi.nlm.nih.gov/entrez/query.fcgi?cmd=Search&amp;db=Nucleotide&amp;term=NM_001002378","NM_001002378")</f>
        <v>NM_001002378</v>
      </c>
      <c r="L240" s="4" t="s">
        <v>47</v>
      </c>
      <c r="M240" s="4">
        <v>32236683</v>
      </c>
      <c r="N240" s="4">
        <v>32237975</v>
      </c>
      <c r="O240" s="4" t="s">
        <v>23</v>
      </c>
      <c r="P240" s="3" t="s">
        <v>641</v>
      </c>
      <c r="Q240" s="3" t="s">
        <v>642</v>
      </c>
      <c r="R240" s="3" t="s">
        <v>67</v>
      </c>
      <c r="S240" s="3" t="s">
        <v>68</v>
      </c>
      <c r="T240" s="3" t="s">
        <v>643</v>
      </c>
      <c r="U240" s="3" t="s">
        <v>644</v>
      </c>
      <c r="V240" s="4"/>
    </row>
    <row r="241" spans="1:22" customFormat="1" x14ac:dyDescent="0.15">
      <c r="A241" s="3" t="s">
        <v>1049</v>
      </c>
      <c r="B241" s="3" t="s">
        <v>1050</v>
      </c>
      <c r="C241" s="3" t="s">
        <v>1048</v>
      </c>
      <c r="D241" s="4">
        <v>1.18</v>
      </c>
      <c r="E241" s="4">
        <v>105.6</v>
      </c>
      <c r="F241" s="4">
        <v>111.23</v>
      </c>
      <c r="G241" s="4">
        <v>243.39</v>
      </c>
      <c r="H241" s="5">
        <f t="shared" si="3"/>
        <v>2.188168659534298</v>
      </c>
      <c r="I241" s="6" t="str">
        <f>HYPERLINK("http://genome.ucsc.edu/cgi-bin/hgTracks?clade=vertebrate&amp;org=Zebrafish&amp;db=danRer7&amp;position=chr21:4041163-4047803","chr21:4041163-4047803")</f>
        <v>chr21:4041163-4047803</v>
      </c>
      <c r="J241" s="6" t="str">
        <f>HYPERLINK("http://www.ncbi.nlm.nih.gov/entrez/query.fcgi?db=gene&amp;cmd=Retrieve&amp;list_uids=321769","321769")</f>
        <v>321769</v>
      </c>
      <c r="K241" s="6" t="str">
        <f>HYPERLINK("http://www.ncbi.nlm.nih.gov/entrez/query.fcgi?cmd=Search&amp;db=Nucleotide&amp;term=NM_199568","NM_199568")</f>
        <v>NM_199568</v>
      </c>
      <c r="L241" s="4" t="s">
        <v>83</v>
      </c>
      <c r="M241" s="4">
        <v>4041163</v>
      </c>
      <c r="N241" s="4">
        <v>4047803</v>
      </c>
      <c r="O241" s="4" t="s">
        <v>19</v>
      </c>
      <c r="P241" s="4"/>
      <c r="Q241" s="4"/>
      <c r="R241" s="4"/>
      <c r="S241" s="4"/>
      <c r="T241" s="4"/>
      <c r="U241" s="4"/>
      <c r="V241" s="4"/>
    </row>
    <row r="242" spans="1:22" customFormat="1" x14ac:dyDescent="0.15">
      <c r="A242" s="3" t="s">
        <v>1325</v>
      </c>
      <c r="B242" s="3" t="s">
        <v>1326</v>
      </c>
      <c r="C242" s="3" t="s">
        <v>1324</v>
      </c>
      <c r="D242" s="4">
        <v>1.909</v>
      </c>
      <c r="E242" s="4">
        <v>3.76</v>
      </c>
      <c r="F242" s="4">
        <v>3.35</v>
      </c>
      <c r="G242" s="4">
        <v>7.33</v>
      </c>
      <c r="H242" s="5">
        <f t="shared" si="3"/>
        <v>2.1880597014925374</v>
      </c>
      <c r="I242" s="6" t="str">
        <f>HYPERLINK("http://genome.ucsc.edu/cgi-bin/hgTracks?clade=vertebrate&amp;org=Zebrafish&amp;db=danRer7&amp;position=chr10:23319646-23328578","chr10:23319646-23328578")</f>
        <v>chr10:23319646-23328578</v>
      </c>
      <c r="J242" s="6" t="str">
        <f>HYPERLINK("http://www.ncbi.nlm.nih.gov/entrez/query.fcgi?db=gene&amp;cmd=Retrieve&amp;list_uids=393579","393579")</f>
        <v>393579</v>
      </c>
      <c r="K242" s="6" t="str">
        <f>HYPERLINK("http://www.ncbi.nlm.nih.gov/entrez/query.fcgi?cmd=Search&amp;db=Nucleotide&amp;term=NM_200607","NM_200607")</f>
        <v>NM_200607</v>
      </c>
      <c r="L242" s="4" t="s">
        <v>92</v>
      </c>
      <c r="M242" s="4">
        <v>23319646</v>
      </c>
      <c r="N242" s="4">
        <v>23328578</v>
      </c>
      <c r="O242" s="4" t="s">
        <v>23</v>
      </c>
      <c r="P242" s="3" t="s">
        <v>99</v>
      </c>
      <c r="Q242" s="3" t="s">
        <v>100</v>
      </c>
      <c r="R242" s="3" t="s">
        <v>75</v>
      </c>
      <c r="S242" s="3" t="s">
        <v>76</v>
      </c>
      <c r="T242" s="4"/>
      <c r="U242" s="4"/>
      <c r="V242" s="4"/>
    </row>
    <row r="243" spans="1:22" customFormat="1" x14ac:dyDescent="0.15">
      <c r="A243" s="3" t="s">
        <v>1446</v>
      </c>
      <c r="B243" s="3" t="s">
        <v>1447</v>
      </c>
      <c r="C243" s="3" t="s">
        <v>1445</v>
      </c>
      <c r="D243" s="4">
        <v>7.6459999999999999</v>
      </c>
      <c r="E243" s="4">
        <v>7.57</v>
      </c>
      <c r="F243" s="4">
        <v>8.7899999999999991</v>
      </c>
      <c r="G243" s="4">
        <v>19.22</v>
      </c>
      <c r="H243" s="5">
        <f t="shared" si="3"/>
        <v>2.1865756541524459</v>
      </c>
      <c r="I243" s="6" t="str">
        <f>HYPERLINK("http://genome.ucsc.edu/cgi-bin/hgTracks?clade=vertebrate&amp;org=Zebrafish&amp;db=danRer7&amp;position=chr1:53870179-53884602","chr1:53870179-53884602")</f>
        <v>chr1:53870179-53884602</v>
      </c>
      <c r="J243" s="6" t="str">
        <f>HYPERLINK("http://www.ncbi.nlm.nih.gov/entrez/query.fcgi?db=gene&amp;cmd=Retrieve&amp;list_uids=83908","83908")</f>
        <v>83908</v>
      </c>
      <c r="K243" s="6" t="str">
        <f>HYPERLINK("http://www.ncbi.nlm.nih.gov/entrez/query.fcgi?cmd=Search&amp;db=Nucleotide&amp;term=NM_199523","NM_199523")</f>
        <v>NM_199523</v>
      </c>
      <c r="L243" s="4" t="s">
        <v>63</v>
      </c>
      <c r="M243" s="4">
        <v>53870179</v>
      </c>
      <c r="N243" s="4">
        <v>53884602</v>
      </c>
      <c r="O243" s="4" t="s">
        <v>23</v>
      </c>
      <c r="P243" s="3" t="s">
        <v>1448</v>
      </c>
      <c r="Q243" s="3" t="s">
        <v>1449</v>
      </c>
      <c r="R243" s="3" t="s">
        <v>1327</v>
      </c>
      <c r="S243" s="3" t="s">
        <v>1328</v>
      </c>
      <c r="T243" s="3" t="s">
        <v>171</v>
      </c>
      <c r="U243" s="3" t="s">
        <v>172</v>
      </c>
      <c r="V243" s="4"/>
    </row>
    <row r="244" spans="1:22" customFormat="1" x14ac:dyDescent="0.15">
      <c r="A244" s="3" t="s">
        <v>1443</v>
      </c>
      <c r="B244" s="3" t="s">
        <v>1444</v>
      </c>
      <c r="C244" s="3" t="s">
        <v>1442</v>
      </c>
      <c r="D244" s="4">
        <v>2.0379999999999998</v>
      </c>
      <c r="E244" s="4">
        <v>10.39</v>
      </c>
      <c r="F244" s="4">
        <v>10.19</v>
      </c>
      <c r="G244" s="4">
        <v>22.26</v>
      </c>
      <c r="H244" s="5">
        <f t="shared" si="3"/>
        <v>2.1844946025515215</v>
      </c>
      <c r="I244" s="6" t="str">
        <f>HYPERLINK("http://genome.ucsc.edu/cgi-bin/hgTracks?clade=vertebrate&amp;org=Zebrafish&amp;db=danRer7&amp;position=chr22:22623596-22637779","chr22:22623596-22637779")</f>
        <v>chr22:22623596-22637779</v>
      </c>
      <c r="J244" s="6" t="str">
        <f>HYPERLINK("http://www.ncbi.nlm.nih.gov/entrez/query.fcgi?db=gene&amp;cmd=Retrieve&amp;list_uids=554960","554960")</f>
        <v>554960</v>
      </c>
      <c r="K244" s="6" t="str">
        <f>HYPERLINK("http://www.ncbi.nlm.nih.gov/entrez/query.fcgi?cmd=Search&amp;db=Nucleotide&amp;term=NM_001044780","NM_001044780")</f>
        <v>NM_001044780</v>
      </c>
      <c r="L244" s="4" t="s">
        <v>103</v>
      </c>
      <c r="M244" s="4">
        <v>22623596</v>
      </c>
      <c r="N244" s="4">
        <v>22637779</v>
      </c>
      <c r="O244" s="4" t="s">
        <v>23</v>
      </c>
      <c r="P244" s="4"/>
      <c r="Q244" s="4"/>
      <c r="R244" s="4"/>
      <c r="S244" s="4"/>
      <c r="T244" s="4"/>
      <c r="U244" s="4"/>
      <c r="V244" s="4"/>
    </row>
    <row r="245" spans="1:22" customFormat="1" x14ac:dyDescent="0.15">
      <c r="A245" s="3" t="s">
        <v>1608</v>
      </c>
      <c r="B245" s="3" t="s">
        <v>1608</v>
      </c>
      <c r="C245" s="3" t="s">
        <v>1607</v>
      </c>
      <c r="D245" s="4">
        <v>2.0470000000000002</v>
      </c>
      <c r="E245" s="4">
        <v>2.4500000000000002</v>
      </c>
      <c r="F245" s="4">
        <v>2.5099999999999998</v>
      </c>
      <c r="G245" s="4">
        <v>5.48</v>
      </c>
      <c r="H245" s="5">
        <f t="shared" si="3"/>
        <v>2.1832669322709166</v>
      </c>
      <c r="I245" s="6" t="str">
        <f>HYPERLINK("http://genome.ucsc.edu/cgi-bin/hgTracks?clade=vertebrate&amp;org=Zebrafish&amp;db=danRer7&amp;position=chr16:6853466-6861183","chr16:6853466-6861183")</f>
        <v>chr16:6853466-6861183</v>
      </c>
      <c r="J245" s="6" t="str">
        <f>HYPERLINK("http://www.ncbi.nlm.nih.gov/entrez/query.fcgi?db=gene&amp;cmd=Retrieve&amp;list_uids=431729","431729")</f>
        <v>431729</v>
      </c>
      <c r="K245" s="6" t="str">
        <f>HYPERLINK("http://www.ncbi.nlm.nih.gov/entrez/query.fcgi?cmd=Search&amp;db=Nucleotide&amp;term=NM_001002182","NM_001002182")</f>
        <v>NM_001002182</v>
      </c>
      <c r="L245" s="4" t="s">
        <v>71</v>
      </c>
      <c r="M245" s="4">
        <v>6853466</v>
      </c>
      <c r="N245" s="4">
        <v>6861183</v>
      </c>
      <c r="O245" s="4" t="s">
        <v>23</v>
      </c>
      <c r="P245" s="3" t="s">
        <v>99</v>
      </c>
      <c r="Q245" s="3" t="s">
        <v>100</v>
      </c>
      <c r="R245" s="3" t="s">
        <v>101</v>
      </c>
      <c r="S245" s="3" t="s">
        <v>102</v>
      </c>
      <c r="T245" s="3" t="s">
        <v>24</v>
      </c>
      <c r="U245" s="3" t="s">
        <v>25</v>
      </c>
      <c r="V245" s="4"/>
    </row>
    <row r="246" spans="1:22" customFormat="1" x14ac:dyDescent="0.15">
      <c r="A246" s="3" t="s">
        <v>1300</v>
      </c>
      <c r="B246" s="3" t="s">
        <v>1300</v>
      </c>
      <c r="C246" s="3" t="s">
        <v>1299</v>
      </c>
      <c r="D246" s="4">
        <v>2.1850000000000001</v>
      </c>
      <c r="E246" s="4">
        <v>3.31</v>
      </c>
      <c r="F246" s="4">
        <v>2.73</v>
      </c>
      <c r="G246" s="4">
        <v>5.96</v>
      </c>
      <c r="H246" s="5">
        <f t="shared" si="3"/>
        <v>2.1831501831501829</v>
      </c>
      <c r="I246" s="6" t="str">
        <f>HYPERLINK("http://genome.ucsc.edu/cgi-bin/hgTracks?clade=vertebrate&amp;org=Zebrafish&amp;db=danRer7&amp;position=chr4:1850469-1875348","chr4:1850469-1875348")</f>
        <v>chr4:1850469-1875348</v>
      </c>
      <c r="J246" s="6" t="str">
        <f>HYPERLINK("http://www.ncbi.nlm.nih.gov/entrez/query.fcgi?db=gene&amp;cmd=Retrieve&amp;list_uids=100034578","100034578")</f>
        <v>100034578</v>
      </c>
      <c r="K246" s="6" t="str">
        <f>HYPERLINK("http://www.ncbi.nlm.nih.gov/entrez/query.fcgi?cmd=Search&amp;db=Nucleotide&amp;term=NM_001083089","NM_001083089")</f>
        <v>NM_001083089</v>
      </c>
      <c r="L246" s="4" t="s">
        <v>77</v>
      </c>
      <c r="M246" s="4">
        <v>1850469</v>
      </c>
      <c r="N246" s="4">
        <v>1875348</v>
      </c>
      <c r="O246" s="4" t="s">
        <v>19</v>
      </c>
      <c r="P246" s="3" t="s">
        <v>141</v>
      </c>
      <c r="Q246" s="3" t="s">
        <v>142</v>
      </c>
      <c r="R246" s="4"/>
      <c r="S246" s="4"/>
      <c r="T246" s="3" t="s">
        <v>578</v>
      </c>
      <c r="U246" s="3" t="s">
        <v>579</v>
      </c>
      <c r="V246" s="4"/>
    </row>
    <row r="247" spans="1:22" customFormat="1" x14ac:dyDescent="0.15">
      <c r="A247" s="3" t="s">
        <v>1272</v>
      </c>
      <c r="B247" s="3" t="s">
        <v>1272</v>
      </c>
      <c r="C247" s="3" t="s">
        <v>1271</v>
      </c>
      <c r="D247" s="4">
        <v>1.97</v>
      </c>
      <c r="E247" s="4">
        <v>5.87</v>
      </c>
      <c r="F247" s="4">
        <v>2.95</v>
      </c>
      <c r="G247" s="4">
        <v>6.43</v>
      </c>
      <c r="H247" s="5">
        <f t="shared" si="3"/>
        <v>2.1796610169491522</v>
      </c>
      <c r="I247" s="6" t="str">
        <f>HYPERLINK("http://genome.ucsc.edu/cgi-bin/hgTracks?clade=vertebrate&amp;org=Zebrafish&amp;db=danRer7&amp;position=chr22:10176996-10181446","chr22:10176996-10181446")</f>
        <v>chr22:10176996-10181446</v>
      </c>
      <c r="J247" s="6" t="str">
        <f>HYPERLINK("http://www.ncbi.nlm.nih.gov/entrez/query.fcgi?db=gene&amp;cmd=Retrieve&amp;list_uids=100034442","100034442")</f>
        <v>100034442</v>
      </c>
      <c r="K247" s="6" t="str">
        <f>HYPERLINK("http://www.ncbi.nlm.nih.gov/entrez/query.fcgi?cmd=Search&amp;db=Nucleotide&amp;term=NM_001083059","NM_001083059")</f>
        <v>NM_001083059</v>
      </c>
      <c r="L247" s="4" t="s">
        <v>103</v>
      </c>
      <c r="M247" s="4">
        <v>10176996</v>
      </c>
      <c r="N247" s="4">
        <v>10181446</v>
      </c>
      <c r="O247" s="4" t="s">
        <v>23</v>
      </c>
      <c r="P247" s="4"/>
      <c r="Q247" s="4"/>
      <c r="R247" s="4"/>
      <c r="S247" s="4"/>
      <c r="T247" s="4"/>
      <c r="U247" s="4"/>
      <c r="V247" s="4"/>
    </row>
    <row r="248" spans="1:22" customFormat="1" x14ac:dyDescent="0.15">
      <c r="A248" s="3" t="s">
        <v>416</v>
      </c>
      <c r="B248" s="3" t="s">
        <v>417</v>
      </c>
      <c r="C248" s="3" t="s">
        <v>415</v>
      </c>
      <c r="D248" s="4">
        <v>1.919</v>
      </c>
      <c r="E248" s="4">
        <v>8.3699999999999992</v>
      </c>
      <c r="F248" s="4">
        <v>3.4</v>
      </c>
      <c r="G248" s="4">
        <v>7.41</v>
      </c>
      <c r="H248" s="5">
        <f t="shared" si="3"/>
        <v>2.1794117647058826</v>
      </c>
      <c r="I248" s="6" t="str">
        <f>HYPERLINK("http://genome.ucsc.edu/cgi-bin/hgTracks?clade=vertebrate&amp;org=Zebrafish&amp;db=danRer7&amp;position=chr24:20802473-20816799","chr24:20802473-20816799")</f>
        <v>chr24:20802473-20816799</v>
      </c>
      <c r="J248" s="6" t="str">
        <f>HYPERLINK("http://www.ncbi.nlm.nih.gov/entrez/query.fcgi?db=gene&amp;cmd=Retrieve&amp;list_uids=402986","402986")</f>
        <v>402986</v>
      </c>
      <c r="K248" s="6" t="str">
        <f>HYPERLINK("http://www.ncbi.nlm.nih.gov/entrez/query.fcgi?cmd=Search&amp;db=Nucleotide&amp;term=NM_205686","NM_205686")</f>
        <v>NM_205686</v>
      </c>
      <c r="L248" s="4" t="s">
        <v>69</v>
      </c>
      <c r="M248" s="4">
        <v>20802473</v>
      </c>
      <c r="N248" s="4">
        <v>20816799</v>
      </c>
      <c r="O248" s="4" t="s">
        <v>19</v>
      </c>
      <c r="P248" s="3" t="s">
        <v>418</v>
      </c>
      <c r="Q248" s="3" t="s">
        <v>419</v>
      </c>
      <c r="R248" s="4"/>
      <c r="S248" s="4"/>
      <c r="T248" s="3" t="s">
        <v>420</v>
      </c>
      <c r="U248" s="3" t="s">
        <v>421</v>
      </c>
      <c r="V248" s="4"/>
    </row>
    <row r="249" spans="1:22" customFormat="1" x14ac:dyDescent="0.15">
      <c r="A249" s="3" t="s">
        <v>1286</v>
      </c>
      <c r="B249" s="3" t="s">
        <v>1286</v>
      </c>
      <c r="C249" s="3" t="s">
        <v>1285</v>
      </c>
      <c r="D249" s="4">
        <v>2.194</v>
      </c>
      <c r="E249" s="4">
        <v>3.87</v>
      </c>
      <c r="F249" s="4">
        <v>4.55</v>
      </c>
      <c r="G249" s="4">
        <v>9.91</v>
      </c>
      <c r="H249" s="5">
        <f t="shared" si="3"/>
        <v>2.1780219780219783</v>
      </c>
      <c r="I249" s="6" t="str">
        <f>HYPERLINK("http://genome.ucsc.edu/cgi-bin/hgTracks?clade=vertebrate&amp;org=Zebrafish&amp;db=danRer7&amp;position=chr19:35644534-35670559","chr19:35644534-35670559")</f>
        <v>chr19:35644534-35670559</v>
      </c>
      <c r="J249" s="6" t="str">
        <f>HYPERLINK("http://www.ncbi.nlm.nih.gov/entrez/query.fcgi?db=gene&amp;cmd=Retrieve&amp;list_uids=768134","768134")</f>
        <v>768134</v>
      </c>
      <c r="K249" s="6" t="str">
        <f>HYPERLINK("http://www.ncbi.nlm.nih.gov/entrez/query.fcgi?cmd=Search&amp;db=Nucleotide&amp;term=NM_001077280","NM_001077280")</f>
        <v>NM_001077280</v>
      </c>
      <c r="L249" s="4" t="s">
        <v>70</v>
      </c>
      <c r="M249" s="4">
        <v>35644534</v>
      </c>
      <c r="N249" s="4">
        <v>35670559</v>
      </c>
      <c r="O249" s="4" t="s">
        <v>19</v>
      </c>
      <c r="P249" s="3" t="s">
        <v>65</v>
      </c>
      <c r="Q249" s="3" t="s">
        <v>66</v>
      </c>
      <c r="R249" s="3" t="s">
        <v>67</v>
      </c>
      <c r="S249" s="3" t="s">
        <v>68</v>
      </c>
      <c r="T249" s="3" t="s">
        <v>24</v>
      </c>
      <c r="U249" s="3" t="s">
        <v>25</v>
      </c>
      <c r="V249" s="4"/>
    </row>
    <row r="250" spans="1:22" customFormat="1" x14ac:dyDescent="0.15">
      <c r="A250" s="3" t="s">
        <v>316</v>
      </c>
      <c r="B250" s="3" t="s">
        <v>317</v>
      </c>
      <c r="C250" s="3" t="s">
        <v>315</v>
      </c>
      <c r="D250" s="4">
        <v>2.738</v>
      </c>
      <c r="E250" s="4">
        <v>8.6300000000000008</v>
      </c>
      <c r="F250" s="4">
        <v>6.1</v>
      </c>
      <c r="G250" s="4">
        <v>13.28</v>
      </c>
      <c r="H250" s="5">
        <f t="shared" si="3"/>
        <v>2.1770491803278689</v>
      </c>
      <c r="I250" s="6" t="str">
        <f>HYPERLINK("http://genome.ucsc.edu/cgi-bin/hgTracks?clade=vertebrate&amp;org=Zebrafish&amp;db=danRer7&amp;position=chr23:6472221-6572912","chr23:6472221-6572912")</f>
        <v>chr23:6472221-6572912</v>
      </c>
      <c r="J250" s="6" t="str">
        <f>HYPERLINK("http://www.ncbi.nlm.nih.gov/entrez/query.fcgi?db=gene&amp;cmd=Retrieve&amp;list_uids=557567","557567")</f>
        <v>557567</v>
      </c>
      <c r="K250" s="6" t="str">
        <f>HYPERLINK("http://www.ncbi.nlm.nih.gov/entrez/query.fcgi?cmd=Search&amp;db=Nucleotide&amp;term=NM_001077146","NM_001077146")</f>
        <v>NM_001077146</v>
      </c>
      <c r="L250" s="4" t="s">
        <v>80</v>
      </c>
      <c r="M250" s="4">
        <v>6472221</v>
      </c>
      <c r="N250" s="4">
        <v>6572912</v>
      </c>
      <c r="O250" s="4" t="s">
        <v>19</v>
      </c>
      <c r="P250" s="3" t="s">
        <v>311</v>
      </c>
      <c r="Q250" s="3" t="s">
        <v>312</v>
      </c>
      <c r="R250" s="4"/>
      <c r="S250" s="4"/>
      <c r="T250" s="3" t="s">
        <v>193</v>
      </c>
      <c r="U250" s="3" t="s">
        <v>194</v>
      </c>
      <c r="V250" s="4"/>
    </row>
    <row r="251" spans="1:22" customFormat="1" x14ac:dyDescent="0.15">
      <c r="A251" s="3" t="s">
        <v>717</v>
      </c>
      <c r="B251" s="3" t="s">
        <v>718</v>
      </c>
      <c r="C251" s="3" t="s">
        <v>716</v>
      </c>
      <c r="D251" s="4">
        <v>2.2090000000000001</v>
      </c>
      <c r="E251" s="4">
        <v>8.42</v>
      </c>
      <c r="F251" s="4">
        <v>8.31</v>
      </c>
      <c r="G251" s="4">
        <v>18.07</v>
      </c>
      <c r="H251" s="5">
        <f t="shared" si="3"/>
        <v>2.1744885679903732</v>
      </c>
      <c r="I251" s="6" t="str">
        <f>HYPERLINK("http://genome.ucsc.edu/cgi-bin/hgTracks?clade=vertebrate&amp;org=Zebrafish&amp;db=danRer7&amp;position=chr18:17259897-17267746","chr18:17259897-17267746")</f>
        <v>chr18:17259897-17267746</v>
      </c>
      <c r="J251" s="6" t="str">
        <f>HYPERLINK("http://www.ncbi.nlm.nih.gov/entrez/query.fcgi?db=gene&amp;cmd=Retrieve&amp;list_uids=565499","565499")</f>
        <v>565499</v>
      </c>
      <c r="K251" s="6" t="str">
        <f>HYPERLINK("http://www.ncbi.nlm.nih.gov/entrez/query.fcgi?cmd=Search&amp;db=Nucleotide&amp;term=NM_001025537","NM_001025537")</f>
        <v>NM_001025537</v>
      </c>
      <c r="L251" s="4" t="s">
        <v>41</v>
      </c>
      <c r="M251" s="4">
        <v>17259897</v>
      </c>
      <c r="N251" s="4">
        <v>17267746</v>
      </c>
      <c r="O251" s="4" t="s">
        <v>23</v>
      </c>
      <c r="P251" s="4"/>
      <c r="Q251" s="4"/>
      <c r="R251" s="4"/>
      <c r="S251" s="4"/>
      <c r="T251" s="3" t="s">
        <v>24</v>
      </c>
      <c r="U251" s="3" t="s">
        <v>25</v>
      </c>
      <c r="V251" s="4"/>
    </row>
    <row r="252" spans="1:22" customFormat="1" x14ac:dyDescent="0.15">
      <c r="A252" s="3" t="s">
        <v>1565</v>
      </c>
      <c r="B252" s="3" t="s">
        <v>1565</v>
      </c>
      <c r="C252" s="3" t="s">
        <v>1564</v>
      </c>
      <c r="D252" s="4">
        <v>2.6339999999999999</v>
      </c>
      <c r="E252" s="4">
        <v>4.38</v>
      </c>
      <c r="F252" s="4">
        <v>2.81</v>
      </c>
      <c r="G252" s="4">
        <v>6.1</v>
      </c>
      <c r="H252" s="5">
        <f t="shared" si="3"/>
        <v>2.1708185053380782</v>
      </c>
      <c r="I252" s="6" t="str">
        <f>HYPERLINK("http://genome.ucsc.edu/cgi-bin/hgTracks?clade=vertebrate&amp;org=Zebrafish&amp;db=danRer7&amp;position=chr16:56652368-56720769","chr16:56652368-56720769")</f>
        <v>chr16:56652368-56720769</v>
      </c>
      <c r="J252" s="6" t="str">
        <f>HYPERLINK("http://www.ncbi.nlm.nih.gov/entrez/query.fcgi?db=gene&amp;cmd=Retrieve&amp;list_uids=100009641","100009641")</f>
        <v>100009641</v>
      </c>
      <c r="K252" s="6" t="str">
        <f>HYPERLINK("http://www.ncbi.nlm.nih.gov/entrez/query.fcgi?cmd=Search&amp;db=Nucleotide&amp;term=NM_001083010","NM_001083010")</f>
        <v>NM_001083010</v>
      </c>
      <c r="L252" s="4" t="s">
        <v>71</v>
      </c>
      <c r="M252" s="4">
        <v>56652368</v>
      </c>
      <c r="N252" s="4">
        <v>56720769</v>
      </c>
      <c r="O252" s="4" t="s">
        <v>23</v>
      </c>
      <c r="P252" s="3" t="s">
        <v>65</v>
      </c>
      <c r="Q252" s="3" t="s">
        <v>66</v>
      </c>
      <c r="R252" s="3" t="s">
        <v>67</v>
      </c>
      <c r="S252" s="3" t="s">
        <v>68</v>
      </c>
      <c r="T252" s="3" t="s">
        <v>24</v>
      </c>
      <c r="U252" s="3" t="s">
        <v>25</v>
      </c>
      <c r="V252" s="4"/>
    </row>
    <row r="253" spans="1:22" customFormat="1" x14ac:dyDescent="0.15">
      <c r="A253" s="3" t="s">
        <v>185</v>
      </c>
      <c r="B253" s="3" t="s">
        <v>186</v>
      </c>
      <c r="C253" s="3" t="s">
        <v>184</v>
      </c>
      <c r="D253" s="4">
        <v>7.3460000000000001</v>
      </c>
      <c r="E253" s="4">
        <v>43.29</v>
      </c>
      <c r="F253" s="4">
        <v>26.51</v>
      </c>
      <c r="G253" s="4">
        <v>57.45</v>
      </c>
      <c r="H253" s="5">
        <f t="shared" si="3"/>
        <v>2.1671067521689928</v>
      </c>
      <c r="I253" s="6" t="str">
        <f>HYPERLINK("http://genome.ucsc.edu/cgi-bin/hgTracks?clade=vertebrate&amp;org=Zebrafish&amp;db=danRer7&amp;position=chr7:27155601-27173814","chr7:27155601-27173814")</f>
        <v>chr7:27155601-27173814</v>
      </c>
      <c r="J253" s="6" t="str">
        <f>HYPERLINK("http://www.ncbi.nlm.nih.gov/entrez/query.fcgi?db=gene&amp;cmd=Retrieve&amp;list_uids=322732","322732")</f>
        <v>322732</v>
      </c>
      <c r="K253" s="6" t="str">
        <f>HYPERLINK("http://www.ncbi.nlm.nih.gov/entrez/query.fcgi?cmd=Search&amp;db=Nucleotide&amp;term=NM_199618","NM_199618")</f>
        <v>NM_199618</v>
      </c>
      <c r="L253" s="4" t="s">
        <v>85</v>
      </c>
      <c r="M253" s="4">
        <v>27155601</v>
      </c>
      <c r="N253" s="4">
        <v>27173814</v>
      </c>
      <c r="O253" s="4" t="s">
        <v>23</v>
      </c>
      <c r="P253" s="3" t="s">
        <v>187</v>
      </c>
      <c r="Q253" s="3" t="s">
        <v>188</v>
      </c>
      <c r="R253" s="4"/>
      <c r="S253" s="4"/>
      <c r="T253" s="3" t="s">
        <v>189</v>
      </c>
      <c r="U253" s="3" t="s">
        <v>190</v>
      </c>
      <c r="V253" s="4"/>
    </row>
    <row r="254" spans="1:22" customFormat="1" x14ac:dyDescent="0.15">
      <c r="A254" s="3" t="s">
        <v>1403</v>
      </c>
      <c r="B254" s="3" t="s">
        <v>1404</v>
      </c>
      <c r="C254" s="3" t="s">
        <v>1402</v>
      </c>
      <c r="D254" s="4">
        <v>2.391</v>
      </c>
      <c r="E254" s="4">
        <v>4.8499999999999996</v>
      </c>
      <c r="F254" s="4">
        <v>5.12</v>
      </c>
      <c r="G254" s="4">
        <v>11.08</v>
      </c>
      <c r="H254" s="5">
        <f t="shared" si="3"/>
        <v>2.1640625</v>
      </c>
      <c r="I254" s="6" t="str">
        <f>HYPERLINK("http://genome.ucsc.edu/cgi-bin/hgTracks?clade=vertebrate&amp;org=Zebrafish&amp;db=danRer7&amp;position=chr16:36529278-36552617","chr16:36529278-36552617")</f>
        <v>chr16:36529278-36552617</v>
      </c>
      <c r="J254" s="6" t="str">
        <f>HYPERLINK("http://www.ncbi.nlm.nih.gov/entrez/query.fcgi?db=gene&amp;cmd=Retrieve&amp;list_uids=402983","402983")</f>
        <v>402983</v>
      </c>
      <c r="K254" s="6" t="str">
        <f>HYPERLINK("http://www.ncbi.nlm.nih.gov/entrez/query.fcgi?cmd=Search&amp;db=Nucleotide&amp;term=NM_205683","NM_205683")</f>
        <v>NM_205683</v>
      </c>
      <c r="L254" s="4" t="s">
        <v>71</v>
      </c>
      <c r="M254" s="4">
        <v>36529278</v>
      </c>
      <c r="N254" s="4">
        <v>36552617</v>
      </c>
      <c r="O254" s="4" t="s">
        <v>23</v>
      </c>
      <c r="P254" s="3" t="s">
        <v>1398</v>
      </c>
      <c r="Q254" s="3" t="s">
        <v>1399</v>
      </c>
      <c r="R254" s="3" t="s">
        <v>61</v>
      </c>
      <c r="S254" s="3" t="s">
        <v>62</v>
      </c>
      <c r="T254" s="3" t="s">
        <v>1400</v>
      </c>
      <c r="U254" s="3" t="s">
        <v>1401</v>
      </c>
      <c r="V254" s="4"/>
    </row>
    <row r="255" spans="1:22" customFormat="1" x14ac:dyDescent="0.15">
      <c r="A255" s="3" t="s">
        <v>1494</v>
      </c>
      <c r="B255" s="3" t="s">
        <v>1494</v>
      </c>
      <c r="C255" s="3" t="s">
        <v>1493</v>
      </c>
      <c r="D255" s="4">
        <v>3.39</v>
      </c>
      <c r="E255" s="4">
        <v>93.87</v>
      </c>
      <c r="F255" s="4">
        <v>58.16</v>
      </c>
      <c r="G255" s="4">
        <v>125.59</v>
      </c>
      <c r="H255" s="5">
        <f t="shared" si="3"/>
        <v>2.1593878954607981</v>
      </c>
      <c r="I255" s="6" t="str">
        <f>HYPERLINK("http://genome.ucsc.edu/cgi-bin/hgTracks?clade=vertebrate&amp;org=Zebrafish&amp;db=danRer7&amp;position=chr3:27793500-27798964","chr3:27793500-27798964")</f>
        <v>chr3:27793500-27798964</v>
      </c>
      <c r="J255" s="6" t="str">
        <f>HYPERLINK("http://www.ncbi.nlm.nih.gov/entrez/query.fcgi?db=gene&amp;cmd=Retrieve&amp;list_uids=561592","561592")</f>
        <v>561592</v>
      </c>
      <c r="K255" s="6" t="str">
        <f>HYPERLINK("http://www.ncbi.nlm.nih.gov/entrez/query.fcgi?cmd=Search&amp;db=Nucleotide&amp;term=NM_001164368","NM_001164368")</f>
        <v>NM_001164368</v>
      </c>
      <c r="L255" s="4" t="s">
        <v>47</v>
      </c>
      <c r="M255" s="4">
        <v>27793500</v>
      </c>
      <c r="N255" s="4">
        <v>27798964</v>
      </c>
      <c r="O255" s="4" t="s">
        <v>19</v>
      </c>
      <c r="P255" s="4"/>
      <c r="Q255" s="4"/>
      <c r="R255" s="4"/>
      <c r="S255" s="4"/>
      <c r="T255" s="4"/>
      <c r="U255" s="4"/>
      <c r="V255" s="4"/>
    </row>
    <row r="256" spans="1:22" customFormat="1" x14ac:dyDescent="0.15">
      <c r="A256" s="3" t="s">
        <v>1569</v>
      </c>
      <c r="B256" s="3" t="s">
        <v>1569</v>
      </c>
      <c r="C256" s="3" t="s">
        <v>1568</v>
      </c>
      <c r="D256" s="4">
        <v>1.6140000000000001</v>
      </c>
      <c r="E256" s="4">
        <v>9.23</v>
      </c>
      <c r="F256" s="4">
        <v>11.43</v>
      </c>
      <c r="G256" s="4">
        <v>24.54</v>
      </c>
      <c r="H256" s="5">
        <f t="shared" si="3"/>
        <v>2.1469816272965878</v>
      </c>
      <c r="I256" s="6" t="str">
        <f>HYPERLINK("http://genome.ucsc.edu/cgi-bin/hgTracks?clade=vertebrate&amp;org=Zebrafish&amp;db=danRer7&amp;position=chr7:75191966-75197309","chr7:75191966-75197309")</f>
        <v>chr7:75191966-75197309</v>
      </c>
      <c r="J256" s="6" t="str">
        <f>HYPERLINK("http://www.ncbi.nlm.nih.gov/entrez/query.fcgi?db=gene&amp;cmd=Retrieve&amp;list_uids=797943","797943")</f>
        <v>797943</v>
      </c>
      <c r="K256" s="6" t="str">
        <f>HYPERLINK("http://www.ncbi.nlm.nih.gov/entrez/query.fcgi?cmd=Search&amp;db=Nucleotide&amp;term=NM_001082921","NM_001082921")</f>
        <v>NM_001082921</v>
      </c>
      <c r="L256" s="4" t="s">
        <v>85</v>
      </c>
      <c r="M256" s="4">
        <v>75191966</v>
      </c>
      <c r="N256" s="4">
        <v>75197309</v>
      </c>
      <c r="O256" s="4" t="s">
        <v>23</v>
      </c>
      <c r="P256" s="4"/>
      <c r="Q256" s="4"/>
      <c r="R256" s="4"/>
      <c r="S256" s="4"/>
      <c r="T256" s="4"/>
      <c r="U256" s="4"/>
      <c r="V256" s="4"/>
    </row>
    <row r="257" spans="1:22" customFormat="1" x14ac:dyDescent="0.15">
      <c r="A257" s="3" t="s">
        <v>1178</v>
      </c>
      <c r="B257" s="3" t="s">
        <v>1179</v>
      </c>
      <c r="C257" s="3" t="s">
        <v>1177</v>
      </c>
      <c r="D257" s="4">
        <v>2.0699999999999998</v>
      </c>
      <c r="E257" s="4">
        <v>5.46</v>
      </c>
      <c r="F257" s="4">
        <v>5.9</v>
      </c>
      <c r="G257" s="4">
        <v>12.65</v>
      </c>
      <c r="H257" s="5">
        <f t="shared" si="3"/>
        <v>2.1440677966101696</v>
      </c>
      <c r="I257" s="6" t="str">
        <f>HYPERLINK("http://genome.ucsc.edu/cgi-bin/hgTracks?clade=vertebrate&amp;org=Zebrafish&amp;db=danRer7&amp;position=chr10:9249867-9275152","chr10:9249867-9275152")</f>
        <v>chr10:9249867-9275152</v>
      </c>
      <c r="J257" s="6" t="str">
        <f>HYPERLINK("http://www.ncbi.nlm.nih.gov/entrez/query.fcgi?db=gene&amp;cmd=Retrieve&amp;list_uids=445085","445085")</f>
        <v>445085</v>
      </c>
      <c r="K257" s="6" t="str">
        <f>HYPERLINK("http://www.ncbi.nlm.nih.gov/entrez/query.fcgi?cmd=Search&amp;db=Nucleotide&amp;term=NM_001003479","NM_001003479")</f>
        <v>NM_001003479</v>
      </c>
      <c r="L257" s="4" t="s">
        <v>92</v>
      </c>
      <c r="M257" s="4">
        <v>9249867</v>
      </c>
      <c r="N257" s="4">
        <v>9275152</v>
      </c>
      <c r="O257" s="4" t="s">
        <v>23</v>
      </c>
      <c r="P257" s="3" t="s">
        <v>1173</v>
      </c>
      <c r="Q257" s="3" t="s">
        <v>1174</v>
      </c>
      <c r="R257" s="3" t="s">
        <v>137</v>
      </c>
      <c r="S257" s="3" t="s">
        <v>138</v>
      </c>
      <c r="T257" s="3" t="s">
        <v>1175</v>
      </c>
      <c r="U257" s="3" t="s">
        <v>1176</v>
      </c>
      <c r="V257" s="4"/>
    </row>
    <row r="258" spans="1:22" customFormat="1" x14ac:dyDescent="0.15">
      <c r="A258" s="3" t="s">
        <v>1077</v>
      </c>
      <c r="B258" s="3" t="s">
        <v>1078</v>
      </c>
      <c r="C258" s="3" t="s">
        <v>1076</v>
      </c>
      <c r="D258" s="4">
        <v>4.452</v>
      </c>
      <c r="E258" s="4">
        <v>15.26</v>
      </c>
      <c r="F258" s="4">
        <v>14</v>
      </c>
      <c r="G258" s="4">
        <v>30.01</v>
      </c>
      <c r="H258" s="5">
        <f t="shared" si="3"/>
        <v>2.1435714285714287</v>
      </c>
      <c r="I258" s="6" t="str">
        <f>HYPERLINK("http://genome.ucsc.edu/cgi-bin/hgTracks?clade=vertebrate&amp;org=Zebrafish&amp;db=danRer7&amp;position=chr12:29107277-29139721","chr12:29107277-29139721")</f>
        <v>chr12:29107277-29139721</v>
      </c>
      <c r="J258" s="6" t="str">
        <f>HYPERLINK("http://www.ncbi.nlm.nih.gov/entrez/query.fcgi?db=gene&amp;cmd=Retrieve&amp;list_uids=30700","30700")</f>
        <v>30700</v>
      </c>
      <c r="K258" s="6" t="str">
        <f>HYPERLINK("http://www.ncbi.nlm.nih.gov/entrez/query.fcgi?cmd=Search&amp;db=Nucleotide&amp;term=NM_131425","NM_131425")</f>
        <v>NM_131425</v>
      </c>
      <c r="L258" s="4" t="s">
        <v>57</v>
      </c>
      <c r="M258" s="4">
        <v>29107277</v>
      </c>
      <c r="N258" s="4">
        <v>29139721</v>
      </c>
      <c r="O258" s="4" t="s">
        <v>23</v>
      </c>
      <c r="P258" s="3" t="s">
        <v>935</v>
      </c>
      <c r="Q258" s="3" t="s">
        <v>936</v>
      </c>
      <c r="R258" s="3" t="s">
        <v>61</v>
      </c>
      <c r="S258" s="3" t="s">
        <v>62</v>
      </c>
      <c r="T258" s="3" t="s">
        <v>552</v>
      </c>
      <c r="U258" s="3" t="s">
        <v>553</v>
      </c>
      <c r="V258" s="4"/>
    </row>
    <row r="259" spans="1:22" customFormat="1" x14ac:dyDescent="0.15">
      <c r="A259" s="3" t="s">
        <v>1131</v>
      </c>
      <c r="B259" s="3" t="s">
        <v>1132</v>
      </c>
      <c r="C259" s="3" t="s">
        <v>1130</v>
      </c>
      <c r="D259" s="4">
        <v>7.4589999999999996</v>
      </c>
      <c r="E259" s="4">
        <v>8.5399999999999991</v>
      </c>
      <c r="F259" s="4">
        <v>11.9</v>
      </c>
      <c r="G259" s="4">
        <v>25.46</v>
      </c>
      <c r="H259" s="5">
        <f t="shared" ref="H259:H312" si="4">G259/F259</f>
        <v>2.1394957983193277</v>
      </c>
      <c r="I259" s="6" t="str">
        <f>HYPERLINK("http://genome.ucsc.edu/cgi-bin/hgTracks?clade=vertebrate&amp;org=Zebrafish&amp;db=danRer7&amp;position=chr16:8650398-8662772","chr16:8650398-8662772")</f>
        <v>chr16:8650398-8662772</v>
      </c>
      <c r="J259" s="6" t="str">
        <f>HYPERLINK("http://www.ncbi.nlm.nih.gov/entrez/query.fcgi?db=gene&amp;cmd=Retrieve&amp;list_uids=323473","323473")</f>
        <v>323473</v>
      </c>
      <c r="K259" s="6" t="str">
        <f>HYPERLINK("http://www.ncbi.nlm.nih.gov/entrez/query.fcgi?cmd=Search&amp;db=Nucleotide&amp;term=NM_199515","NM_199515")</f>
        <v>NM_199515</v>
      </c>
      <c r="L259" s="4" t="s">
        <v>71</v>
      </c>
      <c r="M259" s="4">
        <v>8650398</v>
      </c>
      <c r="N259" s="4">
        <v>8662772</v>
      </c>
      <c r="O259" s="4" t="s">
        <v>19</v>
      </c>
      <c r="P259" s="3" t="s">
        <v>1133</v>
      </c>
      <c r="Q259" s="3" t="s">
        <v>1134</v>
      </c>
      <c r="R259" s="3" t="s">
        <v>137</v>
      </c>
      <c r="S259" s="3" t="s">
        <v>138</v>
      </c>
      <c r="T259" s="3" t="s">
        <v>1135</v>
      </c>
      <c r="U259" s="3" t="s">
        <v>1136</v>
      </c>
      <c r="V259" s="4"/>
    </row>
    <row r="260" spans="1:22" customFormat="1" x14ac:dyDescent="0.15">
      <c r="A260" s="3" t="s">
        <v>1036</v>
      </c>
      <c r="B260" s="3" t="s">
        <v>1037</v>
      </c>
      <c r="C260" s="3" t="s">
        <v>1035</v>
      </c>
      <c r="D260" s="4">
        <v>2.6269999999999998</v>
      </c>
      <c r="E260" s="4">
        <v>7.44</v>
      </c>
      <c r="F260" s="4">
        <v>6.96</v>
      </c>
      <c r="G260" s="4">
        <v>14.84</v>
      </c>
      <c r="H260" s="5">
        <f t="shared" si="4"/>
        <v>2.132183908045977</v>
      </c>
      <c r="I260" s="6" t="str">
        <f>HYPERLINK("http://genome.ucsc.edu/cgi-bin/hgTracks?clade=vertebrate&amp;org=Zebrafish&amp;db=danRer7&amp;position=chr24:40328522-40330513","chr24:40328522-40330513")</f>
        <v>chr24:40328522-40330513</v>
      </c>
      <c r="J260" s="6" t="str">
        <f>HYPERLINK("http://www.ncbi.nlm.nih.gov/entrez/query.fcgi?db=gene&amp;cmd=Retrieve&amp;list_uids=30185","30185")</f>
        <v>30185</v>
      </c>
      <c r="K260" s="6" t="str">
        <f>HYPERLINK("http://www.ncbi.nlm.nih.gov/entrez/query.fcgi?cmd=Search&amp;db=Nucleotide&amp;term=NM_130992","NM_130992")</f>
        <v>NM_130992</v>
      </c>
      <c r="L260" s="4" t="s">
        <v>69</v>
      </c>
      <c r="M260" s="4">
        <v>40328522</v>
      </c>
      <c r="N260" s="4">
        <v>40330513</v>
      </c>
      <c r="O260" s="4" t="s">
        <v>19</v>
      </c>
      <c r="P260" s="3" t="s">
        <v>1038</v>
      </c>
      <c r="Q260" s="3" t="s">
        <v>1039</v>
      </c>
      <c r="R260" s="3" t="s">
        <v>115</v>
      </c>
      <c r="S260" s="3" t="s">
        <v>116</v>
      </c>
      <c r="T260" s="3" t="s">
        <v>24</v>
      </c>
      <c r="U260" s="3" t="s">
        <v>25</v>
      </c>
      <c r="V260" s="4"/>
    </row>
    <row r="261" spans="1:22" customFormat="1" x14ac:dyDescent="0.15">
      <c r="A261" s="3" t="s">
        <v>462</v>
      </c>
      <c r="B261" s="3" t="s">
        <v>463</v>
      </c>
      <c r="C261" s="3" t="s">
        <v>461</v>
      </c>
      <c r="D261" s="4">
        <v>5.8</v>
      </c>
      <c r="E261" s="4">
        <v>15.25</v>
      </c>
      <c r="F261" s="4">
        <v>17.37</v>
      </c>
      <c r="G261" s="4">
        <v>36.97</v>
      </c>
      <c r="H261" s="5">
        <f t="shared" si="4"/>
        <v>2.1283822682786413</v>
      </c>
      <c r="I261" s="6" t="str">
        <f>HYPERLINK("http://genome.ucsc.edu/cgi-bin/hgTracks?clade=vertebrate&amp;org=Zebrafish&amp;db=danRer7&amp;position=chr3:40964025-40971314","chr3:40964025-40971314")</f>
        <v>chr3:40964025-40971314</v>
      </c>
      <c r="J261" s="6" t="str">
        <f>HYPERLINK("http://www.ncbi.nlm.nih.gov/entrez/query.fcgi?db=gene&amp;cmd=Retrieve&amp;list_uids=324340","324340")</f>
        <v>324340</v>
      </c>
      <c r="K261" s="6" t="str">
        <f>HYPERLINK("http://www.ncbi.nlm.nih.gov/entrez/query.fcgi?cmd=Search&amp;db=Nucleotide&amp;term=NM_212673","NM_212673")</f>
        <v>NM_212673</v>
      </c>
      <c r="L261" s="4" t="s">
        <v>47</v>
      </c>
      <c r="M261" s="4">
        <v>40964025</v>
      </c>
      <c r="N261" s="4">
        <v>40971314</v>
      </c>
      <c r="O261" s="4" t="s">
        <v>19</v>
      </c>
      <c r="P261" s="3" t="s">
        <v>141</v>
      </c>
      <c r="Q261" s="3" t="s">
        <v>142</v>
      </c>
      <c r="R261" s="4"/>
      <c r="S261" s="4"/>
      <c r="T261" s="3" t="s">
        <v>464</v>
      </c>
      <c r="U261" s="3" t="s">
        <v>465</v>
      </c>
      <c r="V261" s="4"/>
    </row>
    <row r="262" spans="1:22" customFormat="1" x14ac:dyDescent="0.15">
      <c r="A262" s="3" t="s">
        <v>431</v>
      </c>
      <c r="B262" s="3" t="s">
        <v>432</v>
      </c>
      <c r="C262" s="3" t="s">
        <v>430</v>
      </c>
      <c r="D262" s="4">
        <v>2.7570000000000001</v>
      </c>
      <c r="E262" s="4">
        <v>15.58</v>
      </c>
      <c r="F262" s="4">
        <v>17.3</v>
      </c>
      <c r="G262" s="4">
        <v>36.770000000000003</v>
      </c>
      <c r="H262" s="5">
        <f t="shared" si="4"/>
        <v>2.1254335260115607</v>
      </c>
      <c r="I262" s="6" t="str">
        <f>HYPERLINK("http://genome.ucsc.edu/cgi-bin/hgTracks?clade=vertebrate&amp;org=Zebrafish&amp;db=danRer7&amp;position=chr6:37357906-37371181","chr6:37357906-37371181")</f>
        <v>chr6:37357906-37371181</v>
      </c>
      <c r="J262" s="6" t="str">
        <f>HYPERLINK("http://www.ncbi.nlm.nih.gov/entrez/query.fcgi?db=gene&amp;cmd=Retrieve&amp;list_uids=322055","322055")</f>
        <v>322055</v>
      </c>
      <c r="K262" s="6" t="str">
        <f>HYPERLINK("http://www.ncbi.nlm.nih.gov/entrez/query.fcgi?cmd=Search&amp;db=Nucleotide&amp;term=NM_212604","NM_212604")</f>
        <v>NM_212604</v>
      </c>
      <c r="L262" s="4" t="s">
        <v>46</v>
      </c>
      <c r="M262" s="4">
        <v>37357906</v>
      </c>
      <c r="N262" s="4">
        <v>37371181</v>
      </c>
      <c r="O262" s="4" t="s">
        <v>19</v>
      </c>
      <c r="P262" s="3" t="s">
        <v>255</v>
      </c>
      <c r="Q262" s="3" t="s">
        <v>256</v>
      </c>
      <c r="R262" s="4"/>
      <c r="S262" s="4"/>
      <c r="T262" s="3" t="s">
        <v>433</v>
      </c>
      <c r="U262" s="3" t="s">
        <v>434</v>
      </c>
      <c r="V262" s="4"/>
    </row>
    <row r="263" spans="1:22" customFormat="1" x14ac:dyDescent="0.15">
      <c r="A263" s="3" t="s">
        <v>1373</v>
      </c>
      <c r="B263" s="3" t="s">
        <v>1374</v>
      </c>
      <c r="C263" s="3" t="s">
        <v>1372</v>
      </c>
      <c r="D263" s="4">
        <v>1.44</v>
      </c>
      <c r="E263" s="4">
        <v>3.45</v>
      </c>
      <c r="F263" s="4">
        <v>2.48</v>
      </c>
      <c r="G263" s="4">
        <v>5.26</v>
      </c>
      <c r="H263" s="5">
        <f t="shared" si="4"/>
        <v>2.120967741935484</v>
      </c>
      <c r="I263" s="6" t="str">
        <f>HYPERLINK("http://genome.ucsc.edu/cgi-bin/hgTracks?clade=vertebrate&amp;org=Zebrafish&amp;db=danRer7&amp;position=chr15:40196648-40203586","chr15:40196648-40203586")</f>
        <v>chr15:40196648-40203586</v>
      </c>
      <c r="J263" s="6" t="str">
        <f>HYPERLINK("http://www.ncbi.nlm.nih.gov/entrez/query.fcgi?db=gene&amp;cmd=Retrieve&amp;list_uids=445080","445080")</f>
        <v>445080</v>
      </c>
      <c r="K263" s="6" t="str">
        <f>HYPERLINK("http://www.ncbi.nlm.nih.gov/entrez/query.fcgi?cmd=Search&amp;db=Nucleotide&amp;term=NM_001003474","NM_001003474")</f>
        <v>NM_001003474</v>
      </c>
      <c r="L263" s="4" t="s">
        <v>18</v>
      </c>
      <c r="M263" s="4">
        <v>40196648</v>
      </c>
      <c r="N263" s="4">
        <v>40203586</v>
      </c>
      <c r="O263" s="4" t="s">
        <v>19</v>
      </c>
      <c r="P263" s="3" t="s">
        <v>240</v>
      </c>
      <c r="Q263" s="3" t="s">
        <v>241</v>
      </c>
      <c r="R263" s="3" t="s">
        <v>67</v>
      </c>
      <c r="S263" s="3" t="s">
        <v>68</v>
      </c>
      <c r="T263" s="3" t="s">
        <v>143</v>
      </c>
      <c r="U263" s="3" t="s">
        <v>144</v>
      </c>
      <c r="V263" s="4"/>
    </row>
    <row r="264" spans="1:22" customFormat="1" x14ac:dyDescent="0.15">
      <c r="A264" s="3" t="s">
        <v>397</v>
      </c>
      <c r="B264" s="3" t="s">
        <v>398</v>
      </c>
      <c r="C264" s="3" t="s">
        <v>396</v>
      </c>
      <c r="D264" s="4">
        <v>2.4049999999999998</v>
      </c>
      <c r="E264" s="4">
        <v>77.150000000000006</v>
      </c>
      <c r="F264" s="4">
        <v>46.67</v>
      </c>
      <c r="G264" s="4">
        <v>98.98</v>
      </c>
      <c r="H264" s="5">
        <f t="shared" si="4"/>
        <v>2.1208485108206556</v>
      </c>
      <c r="I264" s="6" t="str">
        <f>HYPERLINK("http://genome.ucsc.edu/cgi-bin/hgTracks?clade=vertebrate&amp;org=Zebrafish&amp;db=danRer7&amp;position=chr2:88612-91786","chr2:88612-91786")</f>
        <v>chr2:88612-91786</v>
      </c>
      <c r="J264" s="6" t="str">
        <f>HYPERLINK("http://www.ncbi.nlm.nih.gov/entrez/query.fcgi?db=gene&amp;cmd=Retrieve&amp;list_uids=81590","81590")</f>
        <v>81590</v>
      </c>
      <c r="K264" s="6" t="str">
        <f>HYPERLINK("http://www.ncbi.nlm.nih.gov/entrez/query.fcgi?cmd=Search&amp;db=Nucleotide&amp;term=NM_131770","NM_131770")</f>
        <v>NM_131770</v>
      </c>
      <c r="L264" s="4" t="s">
        <v>79</v>
      </c>
      <c r="M264" s="4">
        <v>88612</v>
      </c>
      <c r="N264" s="4">
        <v>91786</v>
      </c>
      <c r="O264" s="4" t="s">
        <v>19</v>
      </c>
      <c r="P264" s="4"/>
      <c r="Q264" s="4"/>
      <c r="R264" s="3" t="s">
        <v>399</v>
      </c>
      <c r="S264" s="3" t="s">
        <v>400</v>
      </c>
      <c r="T264" s="3" t="s">
        <v>394</v>
      </c>
      <c r="U264" s="3" t="s">
        <v>395</v>
      </c>
      <c r="V264" s="4"/>
    </row>
    <row r="265" spans="1:22" customFormat="1" x14ac:dyDescent="0.15">
      <c r="A265" s="7" t="s">
        <v>1150</v>
      </c>
      <c r="B265" s="3" t="s">
        <v>1151</v>
      </c>
      <c r="C265" s="3" t="s">
        <v>1149</v>
      </c>
      <c r="D265" s="4">
        <v>2.714</v>
      </c>
      <c r="E265" s="4">
        <v>24.03</v>
      </c>
      <c r="F265" s="4">
        <v>22.25</v>
      </c>
      <c r="G265" s="4">
        <v>47.14</v>
      </c>
      <c r="H265" s="5">
        <f t="shared" si="4"/>
        <v>2.1186516853932584</v>
      </c>
      <c r="I265" s="6" t="str">
        <f>HYPERLINK("http://genome.ucsc.edu/cgi-bin/hgTracks?clade=vertebrate&amp;org=Zebrafish&amp;db=danRer7&amp;position=chr2:20712497-20719864","chr2:20712497-20719864")</f>
        <v>chr2:20712497-20719864</v>
      </c>
      <c r="J265" s="6" t="str">
        <f>HYPERLINK("http://www.ncbi.nlm.nih.gov/entrez/query.fcgi?db=gene&amp;cmd=Retrieve&amp;list_uids=246227","246227")</f>
        <v>246227</v>
      </c>
      <c r="K265" s="6" t="str">
        <f>HYPERLINK("http://www.ncbi.nlm.nih.gov/entrez/query.fcgi?cmd=Search&amp;db=Nucleotide&amp;term=NM_153657","NM_153657")</f>
        <v>NM_153657</v>
      </c>
      <c r="L265" s="4" t="s">
        <v>79</v>
      </c>
      <c r="M265" s="4">
        <v>20712497</v>
      </c>
      <c r="N265" s="4">
        <v>20719864</v>
      </c>
      <c r="O265" s="4" t="s">
        <v>19</v>
      </c>
      <c r="P265" s="3" t="s">
        <v>1152</v>
      </c>
      <c r="Q265" s="3" t="s">
        <v>1153</v>
      </c>
      <c r="R265" s="4"/>
      <c r="S265" s="4"/>
      <c r="T265" s="3" t="s">
        <v>1154</v>
      </c>
      <c r="U265" s="3" t="s">
        <v>1155</v>
      </c>
      <c r="V265" s="4"/>
    </row>
    <row r="266" spans="1:22" customFormat="1" x14ac:dyDescent="0.15">
      <c r="A266" s="3" t="s">
        <v>454</v>
      </c>
      <c r="B266" s="3" t="s">
        <v>455</v>
      </c>
      <c r="C266" s="3" t="s">
        <v>453</v>
      </c>
      <c r="D266" s="4">
        <v>2.605</v>
      </c>
      <c r="E266" s="4">
        <v>27.91</v>
      </c>
      <c r="F266" s="4">
        <v>21.49</v>
      </c>
      <c r="G266" s="4">
        <v>45.48</v>
      </c>
      <c r="H266" s="5">
        <f t="shared" si="4"/>
        <v>2.1163331782224288</v>
      </c>
      <c r="I266" s="6" t="str">
        <f>HYPERLINK("http://genome.ucsc.edu/cgi-bin/hgTracks?clade=vertebrate&amp;org=Zebrafish&amp;db=danRer7&amp;position=chr18:4974676-4985563","chr18:4974676-4985563")</f>
        <v>chr18:4974676-4985563</v>
      </c>
      <c r="J266" s="6" t="str">
        <f>HYPERLINK("http://www.ncbi.nlm.nih.gov/entrez/query.fcgi?db=gene&amp;cmd=Retrieve&amp;list_uids=140634","140634")</f>
        <v>140634</v>
      </c>
      <c r="K266" s="6" t="str">
        <f>HYPERLINK("http://www.ncbi.nlm.nih.gov/entrez/query.fcgi?cmd=Search&amp;db=Nucleotide&amp;term=NM_131879","NM_131879")</f>
        <v>NM_131879</v>
      </c>
      <c r="L266" s="4" t="s">
        <v>41</v>
      </c>
      <c r="M266" s="4">
        <v>4974676</v>
      </c>
      <c r="N266" s="4">
        <v>4985563</v>
      </c>
      <c r="O266" s="4" t="s">
        <v>23</v>
      </c>
      <c r="P266" s="3" t="s">
        <v>456</v>
      </c>
      <c r="Q266" s="3" t="s">
        <v>457</v>
      </c>
      <c r="R266" s="4"/>
      <c r="S266" s="4"/>
      <c r="T266" s="3" t="s">
        <v>458</v>
      </c>
      <c r="U266" s="3" t="s">
        <v>459</v>
      </c>
      <c r="V266" s="4"/>
    </row>
    <row r="267" spans="1:22" customFormat="1" x14ac:dyDescent="0.15">
      <c r="A267" s="3" t="s">
        <v>367</v>
      </c>
      <c r="B267" s="3" t="s">
        <v>368</v>
      </c>
      <c r="C267" s="3" t="s">
        <v>366</v>
      </c>
      <c r="D267" s="4">
        <v>10.32</v>
      </c>
      <c r="E267" s="4">
        <v>4.3899999999999997</v>
      </c>
      <c r="F267" s="4">
        <v>4.08</v>
      </c>
      <c r="G267" s="4">
        <v>8.6199999999999992</v>
      </c>
      <c r="H267" s="5">
        <f t="shared" si="4"/>
        <v>2.1127450980392153</v>
      </c>
      <c r="I267" s="6" t="str">
        <f>HYPERLINK("http://genome.ucsc.edu/cgi-bin/hgTracks?clade=vertebrate&amp;org=Zebrafish&amp;db=danRer7&amp;position=chr25:17046694-17057977","chr25:17046694-17057977")</f>
        <v>chr25:17046694-17057977</v>
      </c>
      <c r="J267" s="6" t="str">
        <f>HYPERLINK("http://www.ncbi.nlm.nih.gov/entrez/query.fcgi?db=gene&amp;cmd=Retrieve&amp;list_uids=373884","373884")</f>
        <v>373884</v>
      </c>
      <c r="K267" s="6" t="str">
        <f>HYPERLINK("http://www.ncbi.nlm.nih.gov/entrez/query.fcgi?cmd=Search&amp;db=Nucleotide&amp;term=NM_001033717","NM_001033717")</f>
        <v>NM_001033717</v>
      </c>
      <c r="L267" s="4" t="s">
        <v>60</v>
      </c>
      <c r="M267" s="4">
        <v>17046694</v>
      </c>
      <c r="N267" s="4">
        <v>17057977</v>
      </c>
      <c r="O267" s="4" t="s">
        <v>23</v>
      </c>
      <c r="P267" s="3" t="s">
        <v>369</v>
      </c>
      <c r="Q267" s="3" t="s">
        <v>370</v>
      </c>
      <c r="R267" s="3" t="s">
        <v>371</v>
      </c>
      <c r="S267" s="3" t="s">
        <v>372</v>
      </c>
      <c r="T267" s="3" t="s">
        <v>373</v>
      </c>
      <c r="U267" s="3" t="s">
        <v>374</v>
      </c>
      <c r="V267" s="4"/>
    </row>
    <row r="268" spans="1:22" customFormat="1" x14ac:dyDescent="0.15">
      <c r="A268" s="3" t="s">
        <v>649</v>
      </c>
      <c r="B268" s="3" t="s">
        <v>650</v>
      </c>
      <c r="C268" s="3" t="s">
        <v>648</v>
      </c>
      <c r="D268" s="4">
        <v>3.1259999999999999</v>
      </c>
      <c r="E268" s="4">
        <v>57.03</v>
      </c>
      <c r="F268" s="4">
        <v>41.16</v>
      </c>
      <c r="G268" s="4">
        <v>86.62</v>
      </c>
      <c r="H268" s="5">
        <f t="shared" si="4"/>
        <v>2.1044703595724008</v>
      </c>
      <c r="I268" s="6" t="str">
        <f>HYPERLINK("http://genome.ucsc.edu/cgi-bin/hgTracks?clade=vertebrate&amp;org=Zebrafish&amp;db=danRer7&amp;position=chr19:33870883-33875722","chr19:33870883-33875722")</f>
        <v>chr19:33870883-33875722</v>
      </c>
      <c r="J268" s="6" t="str">
        <f>HYPERLINK("http://www.ncbi.nlm.nih.gov/entrez/query.fcgi?db=gene&amp;cmd=Retrieve&amp;list_uids=335494","335494")</f>
        <v>335494</v>
      </c>
      <c r="K268" s="6" t="str">
        <f>HYPERLINK("http://www.ncbi.nlm.nih.gov/entrez/query.fcgi?cmd=Search&amp;db=Nucleotide&amp;term=NM_212740","NM_212740")</f>
        <v>NM_212740</v>
      </c>
      <c r="L268" s="4" t="s">
        <v>70</v>
      </c>
      <c r="M268" s="4">
        <v>33870883</v>
      </c>
      <c r="N268" s="4">
        <v>33875722</v>
      </c>
      <c r="O268" s="4" t="s">
        <v>19</v>
      </c>
      <c r="P268" s="3" t="s">
        <v>651</v>
      </c>
      <c r="Q268" s="3" t="s">
        <v>652</v>
      </c>
      <c r="R268" s="4"/>
      <c r="S268" s="4"/>
      <c r="T268" s="3" t="s">
        <v>653</v>
      </c>
      <c r="U268" s="3" t="s">
        <v>654</v>
      </c>
      <c r="V268" s="4"/>
    </row>
    <row r="269" spans="1:22" customFormat="1" x14ac:dyDescent="0.15">
      <c r="A269" s="3" t="s">
        <v>1506</v>
      </c>
      <c r="B269" s="3" t="s">
        <v>1506</v>
      </c>
      <c r="C269" s="3" t="s">
        <v>1505</v>
      </c>
      <c r="D269" s="4">
        <v>0.97299999999999998</v>
      </c>
      <c r="E269" s="4">
        <v>2.71</v>
      </c>
      <c r="F269" s="4">
        <v>2.4</v>
      </c>
      <c r="G269" s="4">
        <v>5.05</v>
      </c>
      <c r="H269" s="5">
        <f t="shared" si="4"/>
        <v>2.1041666666666665</v>
      </c>
      <c r="I269" s="6" t="str">
        <f>HYPERLINK("http://genome.ucsc.edu/cgi-bin/hgTracks?clade=vertebrate&amp;org=Zebrafish&amp;db=danRer7&amp;position=chr23:44875598-44889708","chr23:44875598-44889708")</f>
        <v>chr23:44875598-44889708</v>
      </c>
      <c r="J269" s="6" t="str">
        <f>HYPERLINK("http://www.ncbi.nlm.nih.gov/entrez/query.fcgi?db=gene&amp;cmd=Retrieve&amp;list_uids=445247","445247")</f>
        <v>445247</v>
      </c>
      <c r="K269" s="6" t="str">
        <f>HYPERLINK("http://www.ncbi.nlm.nih.gov/entrez/query.fcgi?cmd=Search&amp;db=Nucleotide&amp;term=NM_001003641","NM_001003641")</f>
        <v>NM_001003641</v>
      </c>
      <c r="L269" s="4" t="s">
        <v>80</v>
      </c>
      <c r="M269" s="4">
        <v>44875598</v>
      </c>
      <c r="N269" s="4">
        <v>44889708</v>
      </c>
      <c r="O269" s="4" t="s">
        <v>23</v>
      </c>
      <c r="P269" s="3" t="s">
        <v>65</v>
      </c>
      <c r="Q269" s="3" t="s">
        <v>66</v>
      </c>
      <c r="R269" s="4"/>
      <c r="S269" s="4"/>
      <c r="T269" s="4"/>
      <c r="U269" s="4"/>
      <c r="V269" s="4"/>
    </row>
    <row r="270" spans="1:22" customFormat="1" x14ac:dyDescent="0.15">
      <c r="A270" s="3" t="s">
        <v>668</v>
      </c>
      <c r="B270" s="3" t="s">
        <v>669</v>
      </c>
      <c r="C270" s="3" t="s">
        <v>667</v>
      </c>
      <c r="D270" s="4">
        <v>6.2380000000000004</v>
      </c>
      <c r="E270" s="4">
        <v>3.83</v>
      </c>
      <c r="F270" s="4">
        <v>3.18</v>
      </c>
      <c r="G270" s="4">
        <v>6.68</v>
      </c>
      <c r="H270" s="5">
        <f t="shared" si="4"/>
        <v>2.10062893081761</v>
      </c>
      <c r="I270" s="6" t="str">
        <f>HYPERLINK("http://genome.ucsc.edu/cgi-bin/hgTracks?clade=vertebrate&amp;org=Zebrafish&amp;db=danRer7&amp;position=chr1:30667486-30744301","chr1:30667486-30744301")</f>
        <v>chr1:30667486-30744301</v>
      </c>
      <c r="J270" s="6" t="str">
        <f>HYPERLINK("http://www.ncbi.nlm.nih.gov/entrez/query.fcgi?db=gene&amp;cmd=Retrieve&amp;list_uids=352930","352930")</f>
        <v>352930</v>
      </c>
      <c r="K270" s="6" t="str">
        <f>HYPERLINK("http://www.ncbi.nlm.nih.gov/entrez/query.fcgi?cmd=Search&amp;db=Nucleotide&amp;term=NM_178296","NM_178296")</f>
        <v>NM_178296</v>
      </c>
      <c r="L270" s="4" t="s">
        <v>63</v>
      </c>
      <c r="M270" s="4">
        <v>30667486</v>
      </c>
      <c r="N270" s="4">
        <v>30744301</v>
      </c>
      <c r="O270" s="4" t="s">
        <v>23</v>
      </c>
      <c r="P270" s="3" t="s">
        <v>670</v>
      </c>
      <c r="Q270" s="3" t="s">
        <v>671</v>
      </c>
      <c r="R270" s="3" t="s">
        <v>672</v>
      </c>
      <c r="S270" s="3" t="s">
        <v>673</v>
      </c>
      <c r="T270" s="3" t="s">
        <v>674</v>
      </c>
      <c r="U270" s="3" t="s">
        <v>675</v>
      </c>
      <c r="V270" s="4"/>
    </row>
    <row r="271" spans="1:22" customFormat="1" x14ac:dyDescent="0.15">
      <c r="A271" s="3" t="s">
        <v>758</v>
      </c>
      <c r="B271" s="3" t="s">
        <v>759</v>
      </c>
      <c r="C271" s="3" t="s">
        <v>757</v>
      </c>
      <c r="D271" s="4">
        <v>5.5830000000000002</v>
      </c>
      <c r="E271" s="4">
        <v>13.72</v>
      </c>
      <c r="F271" s="4">
        <v>11.59</v>
      </c>
      <c r="G271" s="4">
        <v>24.33</v>
      </c>
      <c r="H271" s="5">
        <f t="shared" si="4"/>
        <v>2.0992234685073337</v>
      </c>
      <c r="I271" s="6" t="str">
        <f>HYPERLINK("http://genome.ucsc.edu/cgi-bin/hgTracks?clade=vertebrate&amp;org=Zebrafish&amp;db=danRer7&amp;position=chr3:32886669-32915223","chr3:32886669-32915223")</f>
        <v>chr3:32886669-32915223</v>
      </c>
      <c r="J271" s="6" t="str">
        <f>HYPERLINK("http://www.ncbi.nlm.nih.gov/entrez/query.fcgi?db=gene&amp;cmd=Retrieve&amp;list_uids=327462","327462")</f>
        <v>327462</v>
      </c>
      <c r="K271" s="6" t="str">
        <f>HYPERLINK("http://www.ncbi.nlm.nih.gov/entrez/query.fcgi?cmd=Search&amp;db=Nucleotide&amp;term=NM_199809","NM_199809")</f>
        <v>NM_199809</v>
      </c>
      <c r="L271" s="4" t="s">
        <v>47</v>
      </c>
      <c r="M271" s="4">
        <v>32886669</v>
      </c>
      <c r="N271" s="4">
        <v>32915223</v>
      </c>
      <c r="O271" s="4" t="s">
        <v>23</v>
      </c>
      <c r="P271" s="3" t="s">
        <v>760</v>
      </c>
      <c r="Q271" s="3" t="s">
        <v>761</v>
      </c>
      <c r="R271" s="3" t="s">
        <v>67</v>
      </c>
      <c r="S271" s="3" t="s">
        <v>68</v>
      </c>
      <c r="T271" s="3" t="s">
        <v>755</v>
      </c>
      <c r="U271" s="3" t="s">
        <v>756</v>
      </c>
      <c r="V271" s="4"/>
    </row>
    <row r="272" spans="1:22" customFormat="1" x14ac:dyDescent="0.15">
      <c r="A272" s="3" t="s">
        <v>1302</v>
      </c>
      <c r="B272" s="3" t="s">
        <v>1302</v>
      </c>
      <c r="C272" s="3" t="s">
        <v>1301</v>
      </c>
      <c r="D272" s="4">
        <v>1.3180000000000001</v>
      </c>
      <c r="E272" s="4">
        <v>7.53</v>
      </c>
      <c r="F272" s="4">
        <v>10.33</v>
      </c>
      <c r="G272" s="4">
        <v>21.68</v>
      </c>
      <c r="H272" s="5">
        <f t="shared" si="4"/>
        <v>2.0987415295256535</v>
      </c>
      <c r="I272" s="6" t="str">
        <f>HYPERLINK("http://genome.ucsc.edu/cgi-bin/hgTracks?clade=vertebrate&amp;org=Zebrafish&amp;db=danRer7&amp;position=chr1:45396509-45401702","chr1:45396509-45401702")</f>
        <v>chr1:45396509-45401702</v>
      </c>
      <c r="J272" s="6" t="str">
        <f>HYPERLINK("http://www.ncbi.nlm.nih.gov/entrez/query.fcgi?db=gene&amp;cmd=Retrieve&amp;list_uids=571915","571915")</f>
        <v>571915</v>
      </c>
      <c r="K272" s="6" t="str">
        <f>HYPERLINK("http://www.ncbi.nlm.nih.gov/entrez/query.fcgi?cmd=Search&amp;db=Nucleotide&amp;term=NM_001145611","NM_001145611")</f>
        <v>NM_001145611</v>
      </c>
      <c r="L272" s="4" t="s">
        <v>63</v>
      </c>
      <c r="M272" s="4">
        <v>45396509</v>
      </c>
      <c r="N272" s="4">
        <v>45401702</v>
      </c>
      <c r="O272" s="4" t="s">
        <v>23</v>
      </c>
      <c r="P272" s="4"/>
      <c r="Q272" s="4"/>
      <c r="R272" s="3" t="s">
        <v>39</v>
      </c>
      <c r="S272" s="3" t="s">
        <v>40</v>
      </c>
      <c r="T272" s="4"/>
      <c r="U272" s="4"/>
      <c r="V272" s="4"/>
    </row>
    <row r="273" spans="1:22" customFormat="1" x14ac:dyDescent="0.15">
      <c r="A273" s="3" t="s">
        <v>984</v>
      </c>
      <c r="B273" s="3" t="s">
        <v>985</v>
      </c>
      <c r="C273" s="3" t="s">
        <v>983</v>
      </c>
      <c r="D273" s="4">
        <v>1.319</v>
      </c>
      <c r="E273" s="4">
        <v>4.26</v>
      </c>
      <c r="F273" s="4">
        <v>3.18</v>
      </c>
      <c r="G273" s="4">
        <v>6.66</v>
      </c>
      <c r="H273" s="5">
        <f t="shared" si="4"/>
        <v>2.0943396226415092</v>
      </c>
      <c r="I273" s="6" t="str">
        <f>HYPERLINK("http://genome.ucsc.edu/cgi-bin/hgTracks?clade=vertebrate&amp;org=Zebrafish&amp;db=danRer7&amp;position=chr23:45615313-45625828","chr23:45615313-45625828")</f>
        <v>chr23:45615313-45625828</v>
      </c>
      <c r="J273" s="6" t="str">
        <f>HYPERLINK("http://www.ncbi.nlm.nih.gov/entrez/query.fcgi?db=gene&amp;cmd=Retrieve&amp;list_uids=100142647","100142647")</f>
        <v>100142647</v>
      </c>
      <c r="K273" s="6" t="str">
        <f>HYPERLINK("http://www.ncbi.nlm.nih.gov/entrez/query.fcgi?cmd=Search&amp;db=Nucleotide&amp;term=NM_001122623","NM_001122623")</f>
        <v>NM_001122623</v>
      </c>
      <c r="L273" s="4" t="s">
        <v>80</v>
      </c>
      <c r="M273" s="4">
        <v>45615313</v>
      </c>
      <c r="N273" s="4">
        <v>45625828</v>
      </c>
      <c r="O273" s="4" t="s">
        <v>23</v>
      </c>
      <c r="P273" s="4"/>
      <c r="Q273" s="4"/>
      <c r="R273" s="3" t="s">
        <v>67</v>
      </c>
      <c r="S273" s="3" t="s">
        <v>68</v>
      </c>
      <c r="T273" s="3" t="s">
        <v>770</v>
      </c>
      <c r="U273" s="3" t="s">
        <v>771</v>
      </c>
      <c r="V273" s="4"/>
    </row>
    <row r="274" spans="1:22" customFormat="1" x14ac:dyDescent="0.15">
      <c r="A274" s="3" t="s">
        <v>819</v>
      </c>
      <c r="B274" s="3" t="s">
        <v>820</v>
      </c>
      <c r="C274" s="3" t="s">
        <v>818</v>
      </c>
      <c r="D274" s="4">
        <v>3.63</v>
      </c>
      <c r="E274" s="4">
        <v>9.43</v>
      </c>
      <c r="F274" s="4">
        <v>6.96</v>
      </c>
      <c r="G274" s="4">
        <v>14.57</v>
      </c>
      <c r="H274" s="5">
        <f t="shared" si="4"/>
        <v>2.0933908045977012</v>
      </c>
      <c r="I274" s="6" t="str">
        <f>HYPERLINK("http://genome.ucsc.edu/cgi-bin/hgTracks?clade=vertebrate&amp;org=Zebrafish&amp;db=danRer7&amp;position=chr9:38019604-38027186","chr9:38019604-38027186")</f>
        <v>chr9:38019604-38027186</v>
      </c>
      <c r="J274" s="6" t="str">
        <f>HYPERLINK("http://www.ncbi.nlm.nih.gov/entrez/query.fcgi?db=gene&amp;cmd=Retrieve&amp;list_uids=30275","30275")</f>
        <v>30275</v>
      </c>
      <c r="K274" s="6" t="str">
        <f>HYPERLINK("http://www.ncbi.nlm.nih.gov/entrez/query.fcgi?cmd=Search&amp;db=Nucleotide&amp;term=NM_131068","NM_131068")</f>
        <v>NM_131068</v>
      </c>
      <c r="L274" s="4" t="s">
        <v>22</v>
      </c>
      <c r="M274" s="4">
        <v>38019604</v>
      </c>
      <c r="N274" s="4">
        <v>38027186</v>
      </c>
      <c r="O274" s="4" t="s">
        <v>23</v>
      </c>
      <c r="P274" s="3" t="s">
        <v>311</v>
      </c>
      <c r="Q274" s="3" t="s">
        <v>312</v>
      </c>
      <c r="R274" s="3" t="s">
        <v>115</v>
      </c>
      <c r="S274" s="3" t="s">
        <v>116</v>
      </c>
      <c r="T274" s="3" t="s">
        <v>816</v>
      </c>
      <c r="U274" s="3" t="s">
        <v>817</v>
      </c>
      <c r="V274" s="4"/>
    </row>
    <row r="275" spans="1:22" x14ac:dyDescent="0.15">
      <c r="A275" s="8" t="s">
        <v>1489</v>
      </c>
      <c r="B275" s="8" t="s">
        <v>1490</v>
      </c>
      <c r="C275" s="8" t="s">
        <v>1488</v>
      </c>
      <c r="D275" s="9">
        <v>1.321</v>
      </c>
      <c r="E275" s="9">
        <v>3.07</v>
      </c>
      <c r="F275" s="9">
        <v>2.31</v>
      </c>
      <c r="G275" s="9">
        <v>4.83</v>
      </c>
      <c r="H275" s="5">
        <f t="shared" si="4"/>
        <v>2.0909090909090908</v>
      </c>
      <c r="I275" s="10" t="str">
        <f>HYPERLINK("http://genome.ucsc.edu/cgi-bin/hgTracks?clade=vertebrate&amp;org=Zebrafish&amp;db=danRer7&amp;position=chr8:55917047-55926770","chr8:55917047-55926770")</f>
        <v>chr8:55917047-55926770</v>
      </c>
      <c r="J275" s="10" t="str">
        <f>HYPERLINK("http://www.ncbi.nlm.nih.gov/entrez/query.fcgi?db=gene&amp;cmd=Retrieve&amp;list_uids=568191","568191")</f>
        <v>568191</v>
      </c>
      <c r="K275" s="10" t="str">
        <f>HYPERLINK("http://www.ncbi.nlm.nih.gov/entrez/query.fcgi?cmd=Search&amp;db=Nucleotide&amp;term=NM_001079834","NM_001079834")</f>
        <v>NM_001079834</v>
      </c>
      <c r="L275" s="9" t="s">
        <v>78</v>
      </c>
      <c r="M275" s="9">
        <v>55917047</v>
      </c>
      <c r="N275" s="9">
        <v>55926770</v>
      </c>
      <c r="O275" s="9" t="s">
        <v>23</v>
      </c>
      <c r="P275" s="8" t="s">
        <v>1491</v>
      </c>
      <c r="Q275" s="8" t="s">
        <v>1492</v>
      </c>
      <c r="R275" s="8" t="s">
        <v>1486</v>
      </c>
      <c r="S275" s="8" t="s">
        <v>1487</v>
      </c>
      <c r="T275" s="8" t="s">
        <v>1484</v>
      </c>
      <c r="U275" s="8" t="s">
        <v>1485</v>
      </c>
      <c r="V275" s="9"/>
    </row>
    <row r="276" spans="1:22" customFormat="1" x14ac:dyDescent="0.15">
      <c r="A276" s="3" t="s">
        <v>1258</v>
      </c>
      <c r="B276" s="3" t="s">
        <v>1258</v>
      </c>
      <c r="C276" s="3" t="s">
        <v>1257</v>
      </c>
      <c r="D276" s="4">
        <v>2.41</v>
      </c>
      <c r="E276" s="4">
        <v>2.2400000000000002</v>
      </c>
      <c r="F276" s="4">
        <v>2.35</v>
      </c>
      <c r="G276" s="4">
        <v>4.91</v>
      </c>
      <c r="H276" s="5">
        <f t="shared" si="4"/>
        <v>2.0893617021276594</v>
      </c>
      <c r="I276" s="6" t="str">
        <f>HYPERLINK("http://genome.ucsc.edu/cgi-bin/hgTracks?clade=vertebrate&amp;org=Zebrafish&amp;db=danRer7&amp;position=chr5:28440051-28450650","chr5:28440051-28450650")</f>
        <v>chr5:28440051-28450650</v>
      </c>
      <c r="J276" s="6" t="str">
        <f>HYPERLINK("http://www.ncbi.nlm.nih.gov/entrez/query.fcgi?db=gene&amp;cmd=Retrieve&amp;list_uids=407646","407646")</f>
        <v>407646</v>
      </c>
      <c r="K276" s="6" t="str">
        <f>HYPERLINK("http://www.ncbi.nlm.nih.gov/entrez/query.fcgi?cmd=Search&amp;db=Nucleotide&amp;term=NM_001123231","NM_001123231")</f>
        <v>NM_001123231</v>
      </c>
      <c r="L276" s="4" t="s">
        <v>29</v>
      </c>
      <c r="M276" s="4">
        <v>28440051</v>
      </c>
      <c r="N276" s="4">
        <v>28450650</v>
      </c>
      <c r="O276" s="4" t="s">
        <v>23</v>
      </c>
      <c r="P276" s="3" t="s">
        <v>1259</v>
      </c>
      <c r="Q276" s="3" t="s">
        <v>1260</v>
      </c>
      <c r="R276" s="4"/>
      <c r="S276" s="4"/>
      <c r="T276" s="3" t="s">
        <v>1261</v>
      </c>
      <c r="U276" s="3" t="s">
        <v>1262</v>
      </c>
      <c r="V276" s="4"/>
    </row>
    <row r="277" spans="1:22" customFormat="1" x14ac:dyDescent="0.15">
      <c r="A277" s="3" t="s">
        <v>1199</v>
      </c>
      <c r="B277" s="3" t="s">
        <v>1200</v>
      </c>
      <c r="C277" s="3" t="s">
        <v>1198</v>
      </c>
      <c r="D277" s="4">
        <v>1.2250000000000001</v>
      </c>
      <c r="E277" s="4">
        <v>4.9000000000000004</v>
      </c>
      <c r="F277" s="4">
        <v>5.9</v>
      </c>
      <c r="G277" s="4">
        <v>12.31</v>
      </c>
      <c r="H277" s="5">
        <f t="shared" si="4"/>
        <v>2.0864406779661016</v>
      </c>
      <c r="I277" s="6" t="str">
        <f>HYPERLINK("http://genome.ucsc.edu/cgi-bin/hgTracks?clade=vertebrate&amp;org=Zebrafish&amp;db=danRer7&amp;position=chr22:13991251-13995408","chr22:13991251-13995408")</f>
        <v>chr22:13991251-13995408</v>
      </c>
      <c r="J277" s="6" t="str">
        <f>HYPERLINK("http://www.ncbi.nlm.nih.gov/entrez/query.fcgi?db=gene&amp;cmd=Retrieve&amp;list_uids=436825","436825")</f>
        <v>436825</v>
      </c>
      <c r="K277" s="6" t="str">
        <f>HYPERLINK("http://www.ncbi.nlm.nih.gov/entrez/query.fcgi?cmd=Search&amp;db=Nucleotide&amp;term=NM_001002552","NM_001002552")</f>
        <v>NM_001002552</v>
      </c>
      <c r="L277" s="4" t="s">
        <v>103</v>
      </c>
      <c r="M277" s="4">
        <v>13991251</v>
      </c>
      <c r="N277" s="4">
        <v>13995408</v>
      </c>
      <c r="O277" s="4" t="s">
        <v>19</v>
      </c>
      <c r="P277" s="4"/>
      <c r="Q277" s="4"/>
      <c r="R277" s="4"/>
      <c r="S277" s="4"/>
      <c r="T277" s="3" t="s">
        <v>169</v>
      </c>
      <c r="U277" s="3" t="s">
        <v>170</v>
      </c>
      <c r="V277" s="4"/>
    </row>
    <row r="278" spans="1:22" customFormat="1" x14ac:dyDescent="0.15">
      <c r="A278" s="3" t="s">
        <v>900</v>
      </c>
      <c r="B278" s="3" t="s">
        <v>901</v>
      </c>
      <c r="C278" s="3" t="s">
        <v>899</v>
      </c>
      <c r="D278" s="4">
        <v>4.0609999999999999</v>
      </c>
      <c r="E278" s="4">
        <v>2.13</v>
      </c>
      <c r="F278" s="4">
        <v>1.98</v>
      </c>
      <c r="G278" s="4">
        <v>4.13</v>
      </c>
      <c r="H278" s="5">
        <f t="shared" si="4"/>
        <v>2.0858585858585856</v>
      </c>
      <c r="I278" s="6" t="str">
        <f>HYPERLINK("http://genome.ucsc.edu/cgi-bin/hgTracks?clade=vertebrate&amp;org=Zebrafish&amp;db=danRer7&amp;position=chr5:23636645-23671567","chr5:23636645-23671567")</f>
        <v>chr5:23636645-23671567</v>
      </c>
      <c r="J278" s="6" t="str">
        <f>HYPERLINK("http://www.ncbi.nlm.nih.gov/entrez/query.fcgi?db=gene&amp;cmd=Retrieve&amp;list_uids=559803","559803")</f>
        <v>559803</v>
      </c>
      <c r="K278" s="6" t="str">
        <f>HYPERLINK("http://www.ncbi.nlm.nih.gov/entrez/query.fcgi?cmd=Search&amp;db=Nucleotide&amp;term=NM_001099997","NM_001099997")</f>
        <v>NM_001099997</v>
      </c>
      <c r="L278" s="4" t="s">
        <v>29</v>
      </c>
      <c r="M278" s="4">
        <v>23636645</v>
      </c>
      <c r="N278" s="4">
        <v>23671567</v>
      </c>
      <c r="O278" s="4" t="s">
        <v>19</v>
      </c>
      <c r="P278" s="4"/>
      <c r="Q278" s="4"/>
      <c r="R278" s="4"/>
      <c r="S278" s="4"/>
      <c r="T278" s="4"/>
      <c r="U278" s="4"/>
      <c r="V278" s="4"/>
    </row>
    <row r="279" spans="1:22" customFormat="1" x14ac:dyDescent="0.15">
      <c r="A279" s="3" t="s">
        <v>966</v>
      </c>
      <c r="B279" s="3" t="s">
        <v>967</v>
      </c>
      <c r="C279" s="3" t="s">
        <v>965</v>
      </c>
      <c r="D279" s="4">
        <v>3.6469999999999998</v>
      </c>
      <c r="E279" s="4">
        <v>9.98</v>
      </c>
      <c r="F279" s="4">
        <v>9.3800000000000008</v>
      </c>
      <c r="G279" s="4">
        <v>19.54</v>
      </c>
      <c r="H279" s="5">
        <f t="shared" si="4"/>
        <v>2.0831556503198292</v>
      </c>
      <c r="I279" s="6" t="str">
        <f>HYPERLINK("http://genome.ucsc.edu/cgi-bin/hgTracks?clade=vertebrate&amp;org=Zebrafish&amp;db=danRer7&amp;position=chr11:13362086-13375267","chr11:13362086-13375267")</f>
        <v>chr11:13362086-13375267</v>
      </c>
      <c r="J279" s="6" t="str">
        <f>HYPERLINK("http://www.ncbi.nlm.nih.gov/entrez/query.fcgi?db=gene&amp;cmd=Retrieve&amp;list_uids=555974","555974")</f>
        <v>555974</v>
      </c>
      <c r="K279" s="6" t="str">
        <f>HYPERLINK("http://www.ncbi.nlm.nih.gov/entrez/query.fcgi?cmd=Search&amp;db=Nucleotide&amp;term=NM_001114739","NM_001114739")</f>
        <v>NM_001114739</v>
      </c>
      <c r="L279" s="4" t="s">
        <v>36</v>
      </c>
      <c r="M279" s="4">
        <v>13362086</v>
      </c>
      <c r="N279" s="4">
        <v>13375267</v>
      </c>
      <c r="O279" s="4" t="s">
        <v>23</v>
      </c>
      <c r="P279" s="3" t="s">
        <v>86</v>
      </c>
      <c r="Q279" s="3" t="s">
        <v>87</v>
      </c>
      <c r="R279" s="3" t="s">
        <v>67</v>
      </c>
      <c r="S279" s="3" t="s">
        <v>68</v>
      </c>
      <c r="T279" s="3" t="s">
        <v>175</v>
      </c>
      <c r="U279" s="3" t="s">
        <v>176</v>
      </c>
      <c r="V279" s="4"/>
    </row>
    <row r="280" spans="1:22" customFormat="1" x14ac:dyDescent="0.15">
      <c r="A280" s="3" t="s">
        <v>860</v>
      </c>
      <c r="B280" s="3" t="s">
        <v>861</v>
      </c>
      <c r="C280" s="3" t="s">
        <v>859</v>
      </c>
      <c r="D280" s="4">
        <v>6.7709999999999999</v>
      </c>
      <c r="E280" s="4">
        <v>9.51</v>
      </c>
      <c r="F280" s="4">
        <v>9.8699999999999992</v>
      </c>
      <c r="G280" s="4">
        <v>20.47</v>
      </c>
      <c r="H280" s="5">
        <f t="shared" si="4"/>
        <v>2.0739614994934144</v>
      </c>
      <c r="I280" s="6" t="str">
        <f>HYPERLINK("http://genome.ucsc.edu/cgi-bin/hgTracks?clade=vertebrate&amp;org=Zebrafish&amp;db=danRer7&amp;position=chr22:41869295-41959133","chr22:41869295-41959133")</f>
        <v>chr22:41869295-41959133</v>
      </c>
      <c r="J280" s="6" t="str">
        <f>HYPERLINK("http://www.ncbi.nlm.nih.gov/entrez/query.fcgi?db=gene&amp;cmd=Retrieve&amp;list_uids=30652","30652")</f>
        <v>30652</v>
      </c>
      <c r="K280" s="6" t="str">
        <f>HYPERLINK("http://www.ncbi.nlm.nih.gov/entrez/query.fcgi?cmd=Search&amp;db=Nucleotide&amp;term=NM_131379","NM_131379")</f>
        <v>NM_131379</v>
      </c>
      <c r="L280" s="4" t="s">
        <v>103</v>
      </c>
      <c r="M280" s="4">
        <v>41869295</v>
      </c>
      <c r="N280" s="4">
        <v>41959133</v>
      </c>
      <c r="O280" s="4" t="s">
        <v>23</v>
      </c>
      <c r="P280" s="4"/>
      <c r="Q280" s="4"/>
      <c r="R280" s="3" t="s">
        <v>115</v>
      </c>
      <c r="S280" s="3" t="s">
        <v>116</v>
      </c>
      <c r="T280" s="3" t="s">
        <v>857</v>
      </c>
      <c r="U280" s="3" t="s">
        <v>858</v>
      </c>
      <c r="V280" s="4"/>
    </row>
    <row r="281" spans="1:22" customFormat="1" x14ac:dyDescent="0.15">
      <c r="A281" s="3" t="s">
        <v>607</v>
      </c>
      <c r="B281" s="3" t="s">
        <v>608</v>
      </c>
      <c r="C281" s="3" t="s">
        <v>606</v>
      </c>
      <c r="D281" s="4">
        <v>2.2130000000000001</v>
      </c>
      <c r="E281" s="4">
        <v>4.6500000000000004</v>
      </c>
      <c r="F281" s="4">
        <v>13.83</v>
      </c>
      <c r="G281" s="4">
        <v>28.68</v>
      </c>
      <c r="H281" s="5">
        <f t="shared" si="4"/>
        <v>2.0737527114967462</v>
      </c>
      <c r="I281" s="6" t="str">
        <f>HYPERLINK("http://genome.ucsc.edu/cgi-bin/hgTracks?clade=vertebrate&amp;org=Zebrafish&amp;db=danRer7&amp;position=chr20:46803310-46805421","chr20:46803310-46805421")</f>
        <v>chr20:46803310-46805421</v>
      </c>
      <c r="J281" s="6" t="str">
        <f>HYPERLINK("http://www.ncbi.nlm.nih.gov/entrez/query.fcgi?db=gene&amp;cmd=Retrieve&amp;list_uids=394198","394198")</f>
        <v>394198</v>
      </c>
      <c r="K281" s="6" t="str">
        <f>HYPERLINK("http://www.ncbi.nlm.nih.gov/entrez/query.fcgi?cmd=Search&amp;db=Nucleotide&amp;term=NM_205569","NM_205569")</f>
        <v>NM_205569</v>
      </c>
      <c r="L281" s="4" t="s">
        <v>96</v>
      </c>
      <c r="M281" s="4">
        <v>46803310</v>
      </c>
      <c r="N281" s="4">
        <v>46805421</v>
      </c>
      <c r="O281" s="4" t="s">
        <v>19</v>
      </c>
      <c r="P281" s="3" t="s">
        <v>151</v>
      </c>
      <c r="Q281" s="3" t="s">
        <v>152</v>
      </c>
      <c r="R281" s="3" t="s">
        <v>61</v>
      </c>
      <c r="S281" s="3" t="s">
        <v>62</v>
      </c>
      <c r="T281" s="3" t="s">
        <v>609</v>
      </c>
      <c r="U281" s="3" t="s">
        <v>610</v>
      </c>
      <c r="V281" s="4"/>
    </row>
    <row r="282" spans="1:22" customFormat="1" x14ac:dyDescent="0.15">
      <c r="A282" s="3" t="s">
        <v>146</v>
      </c>
      <c r="B282" s="3" t="s">
        <v>147</v>
      </c>
      <c r="C282" s="3" t="s">
        <v>145</v>
      </c>
      <c r="D282" s="4">
        <v>9.0410000000000004</v>
      </c>
      <c r="E282" s="4">
        <v>23.64</v>
      </c>
      <c r="F282" s="4">
        <v>19.98</v>
      </c>
      <c r="G282" s="4">
        <v>41.41</v>
      </c>
      <c r="H282" s="5">
        <f t="shared" si="4"/>
        <v>2.0725725725725725</v>
      </c>
      <c r="I282" s="6" t="str">
        <f>HYPERLINK("http://genome.ucsc.edu/cgi-bin/hgTracks?clade=vertebrate&amp;org=Zebrafish&amp;db=danRer7&amp;position=chr4:7452006-7489114","chr4:7452006-7489114")</f>
        <v>chr4:7452006-7489114</v>
      </c>
      <c r="J282" s="6" t="str">
        <f>HYPERLINK("http://www.ncbi.nlm.nih.gov/entrez/query.fcgi?db=gene&amp;cmd=Retrieve&amp;list_uids=560140","560140")</f>
        <v>560140</v>
      </c>
      <c r="K282" s="6" t="str">
        <f>HYPERLINK("http://www.ncbi.nlm.nih.gov/entrez/query.fcgi?cmd=Search&amp;db=Nucleotide&amp;term=NM_001025506","NM_001025506")</f>
        <v>NM_001025506</v>
      </c>
      <c r="L282" s="4" t="s">
        <v>77</v>
      </c>
      <c r="M282" s="4">
        <v>7452006</v>
      </c>
      <c r="N282" s="4">
        <v>7489114</v>
      </c>
      <c r="O282" s="4" t="s">
        <v>19</v>
      </c>
      <c r="P282" s="4"/>
      <c r="Q282" s="4"/>
      <c r="R282" s="3" t="s">
        <v>39</v>
      </c>
      <c r="S282" s="3" t="s">
        <v>40</v>
      </c>
      <c r="T282" s="3" t="s">
        <v>143</v>
      </c>
      <c r="U282" s="3" t="s">
        <v>144</v>
      </c>
      <c r="V282" s="4"/>
    </row>
    <row r="283" spans="1:22" customFormat="1" x14ac:dyDescent="0.15">
      <c r="A283" s="3" t="s">
        <v>1597</v>
      </c>
      <c r="B283" s="3" t="s">
        <v>1597</v>
      </c>
      <c r="C283" s="3" t="s">
        <v>1596</v>
      </c>
      <c r="D283" s="4">
        <v>4.3019999999999996</v>
      </c>
      <c r="E283" s="4">
        <v>22.17</v>
      </c>
      <c r="F283" s="4">
        <v>20.09</v>
      </c>
      <c r="G283" s="4">
        <v>41.61</v>
      </c>
      <c r="H283" s="5">
        <f t="shared" si="4"/>
        <v>2.0711796913887506</v>
      </c>
      <c r="I283" s="6" t="str">
        <f>HYPERLINK("http://genome.ucsc.edu/cgi-bin/hgTracks?clade=vertebrate&amp;org=Zebrafish&amp;db=danRer7&amp;position=chr21:26114870-26119364","chr21:26114870-26119364")</f>
        <v>chr21:26114870-26119364</v>
      </c>
      <c r="J283" s="6" t="str">
        <f>HYPERLINK("http://www.ncbi.nlm.nih.gov/entrez/query.fcgi?db=gene&amp;cmd=Retrieve&amp;list_uids=399488","399488")</f>
        <v>399488</v>
      </c>
      <c r="K283" s="6" t="str">
        <f>HYPERLINK("http://www.ncbi.nlm.nih.gov/entrez/query.fcgi?cmd=Search&amp;db=Nucleotide&amp;term=NM_201514","NM_201514")</f>
        <v>NM_201514</v>
      </c>
      <c r="L283" s="4" t="s">
        <v>83</v>
      </c>
      <c r="M283" s="4">
        <v>26114870</v>
      </c>
      <c r="N283" s="4">
        <v>26119364</v>
      </c>
      <c r="O283" s="4" t="s">
        <v>23</v>
      </c>
      <c r="P283" s="3" t="s">
        <v>273</v>
      </c>
      <c r="Q283" s="3" t="s">
        <v>274</v>
      </c>
      <c r="R283" s="4"/>
      <c r="S283" s="4"/>
      <c r="T283" s="3" t="s">
        <v>1344</v>
      </c>
      <c r="U283" s="3" t="s">
        <v>1345</v>
      </c>
      <c r="V283" s="4"/>
    </row>
    <row r="284" spans="1:22" customFormat="1" x14ac:dyDescent="0.15">
      <c r="A284" s="3" t="s">
        <v>874</v>
      </c>
      <c r="B284" s="3" t="s">
        <v>875</v>
      </c>
      <c r="C284" s="3" t="s">
        <v>873</v>
      </c>
      <c r="D284" s="4">
        <v>2.722</v>
      </c>
      <c r="E284" s="4">
        <v>302.19</v>
      </c>
      <c r="F284" s="4">
        <v>324.77</v>
      </c>
      <c r="G284" s="4">
        <v>670.63</v>
      </c>
      <c r="H284" s="5">
        <f t="shared" si="4"/>
        <v>2.0649382640022171</v>
      </c>
      <c r="I284" s="6" t="str">
        <f>HYPERLINK("http://genome.ucsc.edu/cgi-bin/hgTracks?clade=vertebrate&amp;org=Zebrafish&amp;db=danRer7&amp;position=chr23:10454084-10457980","chr23:10454084-10457980")</f>
        <v>chr23:10454084-10457980</v>
      </c>
      <c r="J284" s="6" t="str">
        <f>HYPERLINK("http://www.ncbi.nlm.nih.gov/entrez/query.fcgi?db=gene&amp;cmd=Retrieve&amp;list_uids=352912","352912")</f>
        <v>352912</v>
      </c>
      <c r="K284" s="6" t="str">
        <f>HYPERLINK("http://www.ncbi.nlm.nih.gov/entrez/query.fcgi?cmd=Search&amp;db=Nucleotide&amp;term=NM_178437","NM_178437")</f>
        <v>NM_178437</v>
      </c>
      <c r="L284" s="4" t="s">
        <v>80</v>
      </c>
      <c r="M284" s="4">
        <v>10454084</v>
      </c>
      <c r="N284" s="4">
        <v>10457980</v>
      </c>
      <c r="O284" s="4" t="s">
        <v>23</v>
      </c>
      <c r="P284" s="4"/>
      <c r="Q284" s="4"/>
      <c r="R284" s="3" t="s">
        <v>392</v>
      </c>
      <c r="S284" s="3" t="s">
        <v>393</v>
      </c>
      <c r="T284" s="3" t="s">
        <v>394</v>
      </c>
      <c r="U284" s="3" t="s">
        <v>395</v>
      </c>
      <c r="V284" s="4"/>
    </row>
    <row r="285" spans="1:22" customFormat="1" x14ac:dyDescent="0.15">
      <c r="A285" s="3" t="s">
        <v>945</v>
      </c>
      <c r="B285" s="3" t="s">
        <v>946</v>
      </c>
      <c r="C285" s="3" t="s">
        <v>944</v>
      </c>
      <c r="D285" s="4">
        <v>3.8519999999999999</v>
      </c>
      <c r="E285" s="4">
        <v>25.81</v>
      </c>
      <c r="F285" s="4">
        <v>28.08</v>
      </c>
      <c r="G285" s="4">
        <v>57.82</v>
      </c>
      <c r="H285" s="5">
        <f t="shared" si="4"/>
        <v>2.0591168091168091</v>
      </c>
      <c r="I285" s="6" t="str">
        <f>HYPERLINK("http://genome.ucsc.edu/cgi-bin/hgTracks?clade=vertebrate&amp;org=Zebrafish&amp;db=danRer7&amp;position=chr19:358761-363093","chr19:358761-363093")</f>
        <v>chr19:358761-363093</v>
      </c>
      <c r="J285" s="6" t="str">
        <f>HYPERLINK("http://www.ncbi.nlm.nih.gov/entrez/query.fcgi?db=gene&amp;cmd=Retrieve&amp;list_uids=58122","58122")</f>
        <v>58122</v>
      </c>
      <c r="K285" s="6" t="str">
        <f>HYPERLINK("http://www.ncbi.nlm.nih.gov/entrez/query.fcgi?cmd=Search&amp;db=Nucleotide&amp;term=NM_131599","NM_131599")</f>
        <v>NM_131599</v>
      </c>
      <c r="L285" s="4" t="s">
        <v>70</v>
      </c>
      <c r="M285" s="4">
        <v>358761</v>
      </c>
      <c r="N285" s="4">
        <v>363093</v>
      </c>
      <c r="O285" s="4" t="s">
        <v>23</v>
      </c>
      <c r="P285" s="3" t="s">
        <v>947</v>
      </c>
      <c r="Q285" s="3" t="s">
        <v>948</v>
      </c>
      <c r="R285" s="4"/>
      <c r="S285" s="4"/>
      <c r="T285" s="4"/>
      <c r="U285" s="4"/>
      <c r="V285" s="4"/>
    </row>
    <row r="286" spans="1:22" customFormat="1" x14ac:dyDescent="0.15">
      <c r="A286" s="3" t="s">
        <v>1496</v>
      </c>
      <c r="B286" s="3" t="s">
        <v>1496</v>
      </c>
      <c r="C286" s="3" t="s">
        <v>1495</v>
      </c>
      <c r="D286" s="4">
        <v>4.2919999999999998</v>
      </c>
      <c r="E286" s="4">
        <v>23.95</v>
      </c>
      <c r="F286" s="4">
        <v>40.86</v>
      </c>
      <c r="G286" s="4">
        <v>84.01</v>
      </c>
      <c r="H286" s="5">
        <f t="shared" si="4"/>
        <v>2.0560450318159571</v>
      </c>
      <c r="I286" s="6" t="str">
        <f>HYPERLINK("http://genome.ucsc.edu/cgi-bin/hgTracks?clade=vertebrate&amp;org=Zebrafish&amp;db=danRer7&amp;position=chr16:45866128-45879502","chr16:45866128-45879502")</f>
        <v>chr16:45866128-45879502</v>
      </c>
      <c r="J286" s="6" t="str">
        <f>HYPERLINK("http://www.ncbi.nlm.nih.gov/entrez/query.fcgi?db=gene&amp;cmd=Retrieve&amp;list_uids=556585","556585")</f>
        <v>556585</v>
      </c>
      <c r="K286" s="6" t="str">
        <f>HYPERLINK("http://www.ncbi.nlm.nih.gov/entrez/query.fcgi?cmd=Search&amp;db=Nucleotide&amp;term=NM_001199721","NM_001199721")</f>
        <v>NM_001199721</v>
      </c>
      <c r="L286" s="4" t="s">
        <v>71</v>
      </c>
      <c r="M286" s="4">
        <v>45866128</v>
      </c>
      <c r="N286" s="4">
        <v>45879502</v>
      </c>
      <c r="O286" s="4" t="s">
        <v>19</v>
      </c>
      <c r="P286" s="4"/>
      <c r="Q286" s="4"/>
      <c r="R286" s="4"/>
      <c r="S286" s="4"/>
      <c r="T286" s="4"/>
      <c r="U286" s="4"/>
      <c r="V286" s="4"/>
    </row>
    <row r="287" spans="1:22" customFormat="1" x14ac:dyDescent="0.15">
      <c r="A287" s="3" t="s">
        <v>1274</v>
      </c>
      <c r="B287" s="3" t="s">
        <v>1274</v>
      </c>
      <c r="C287" s="3" t="s">
        <v>1273</v>
      </c>
      <c r="D287" s="4">
        <v>0.86699999999999999</v>
      </c>
      <c r="E287" s="4">
        <v>2.62</v>
      </c>
      <c r="F287" s="4">
        <v>2.3199999999999998</v>
      </c>
      <c r="G287" s="4">
        <v>4.7699999999999996</v>
      </c>
      <c r="H287" s="5">
        <f t="shared" si="4"/>
        <v>2.0560344827586206</v>
      </c>
      <c r="I287" s="6" t="str">
        <f>HYPERLINK("http://genome.ucsc.edu/cgi-bin/hgTracks?clade=vertebrate&amp;org=Zebrafish&amp;db=danRer7&amp;position=chr2:42317501-42325142","chr2:42317501-42325142")</f>
        <v>chr2:42317501-42325142</v>
      </c>
      <c r="J287" s="6" t="str">
        <f>HYPERLINK("http://www.ncbi.nlm.nih.gov/entrez/query.fcgi?db=gene&amp;cmd=Retrieve&amp;list_uids=570302","570302")</f>
        <v>570302</v>
      </c>
      <c r="K287" s="6" t="str">
        <f>HYPERLINK("http://www.ncbi.nlm.nih.gov/entrez/query.fcgi?cmd=Search&amp;db=Nucleotide&amp;term=NM_001130853","NM_001130853")</f>
        <v>NM_001130853</v>
      </c>
      <c r="L287" s="4" t="s">
        <v>79</v>
      </c>
      <c r="M287" s="4">
        <v>42317501</v>
      </c>
      <c r="N287" s="4">
        <v>42325142</v>
      </c>
      <c r="O287" s="4" t="s">
        <v>23</v>
      </c>
      <c r="P287" s="4"/>
      <c r="Q287" s="4"/>
      <c r="R287" s="3" t="s">
        <v>75</v>
      </c>
      <c r="S287" s="3" t="s">
        <v>76</v>
      </c>
      <c r="T287" s="4"/>
      <c r="U287" s="4"/>
      <c r="V287" s="4"/>
    </row>
    <row r="288" spans="1:22" customFormat="1" x14ac:dyDescent="0.15">
      <c r="A288" s="3" t="s">
        <v>1513</v>
      </c>
      <c r="B288" s="3" t="s">
        <v>1513</v>
      </c>
      <c r="C288" s="3" t="s">
        <v>1512</v>
      </c>
      <c r="D288" s="4">
        <v>1.423</v>
      </c>
      <c r="E288" s="4">
        <v>49.27</v>
      </c>
      <c r="F288" s="4">
        <v>34.42</v>
      </c>
      <c r="G288" s="4">
        <v>70.760000000000005</v>
      </c>
      <c r="H288" s="5">
        <f t="shared" si="4"/>
        <v>2.0557815223707148</v>
      </c>
      <c r="I288" s="6" t="str">
        <f>HYPERLINK("http://genome.ucsc.edu/cgi-bin/hgTracks?clade=vertebrate&amp;org=Zebrafish&amp;db=danRer7&amp;position=chr7:8207682-8226400","chr7:8207682-8226400")</f>
        <v>chr7:8207682-8226400</v>
      </c>
      <c r="J288" s="6" t="str">
        <f>HYPERLINK("http://www.ncbi.nlm.nih.gov/entrez/query.fcgi?db=gene&amp;cmd=Retrieve&amp;list_uids=493612","493612")</f>
        <v>493612</v>
      </c>
      <c r="K288" s="6" t="str">
        <f>HYPERLINK("http://www.ncbi.nlm.nih.gov/entrez/query.fcgi?cmd=Search&amp;db=Nucleotide&amp;term=NM_001007772","NM_001007772")</f>
        <v>NM_001007772</v>
      </c>
      <c r="L288" s="4" t="s">
        <v>85</v>
      </c>
      <c r="M288" s="4">
        <v>8207682</v>
      </c>
      <c r="N288" s="4">
        <v>8226400</v>
      </c>
      <c r="O288" s="4" t="s">
        <v>19</v>
      </c>
      <c r="P288" s="3" t="s">
        <v>65</v>
      </c>
      <c r="Q288" s="3" t="s">
        <v>66</v>
      </c>
      <c r="R288" s="4"/>
      <c r="S288" s="4"/>
      <c r="T288" s="4"/>
      <c r="U288" s="4"/>
      <c r="V288" s="4"/>
    </row>
    <row r="289" spans="1:22" customFormat="1" x14ac:dyDescent="0.15">
      <c r="A289" s="3" t="s">
        <v>804</v>
      </c>
      <c r="B289" s="3" t="s">
        <v>805</v>
      </c>
      <c r="C289" s="3" t="s">
        <v>803</v>
      </c>
      <c r="D289" s="4">
        <v>3.7959999999999998</v>
      </c>
      <c r="E289" s="4">
        <v>13.21</v>
      </c>
      <c r="F289" s="4">
        <v>11.47</v>
      </c>
      <c r="G289" s="4">
        <v>23.56</v>
      </c>
      <c r="H289" s="5">
        <f t="shared" si="4"/>
        <v>2.0540540540540539</v>
      </c>
      <c r="I289" s="6" t="str">
        <f>HYPERLINK("http://genome.ucsc.edu/cgi-bin/hgTracks?clade=vertebrate&amp;org=Zebrafish&amp;db=danRer7&amp;position=chr4:9668648-9679879","chr4:9668648-9679879")</f>
        <v>chr4:9668648-9679879</v>
      </c>
      <c r="J289" s="6" t="str">
        <f>HYPERLINK("http://www.ncbi.nlm.nih.gov/entrez/query.fcgi?db=gene&amp;cmd=Retrieve&amp;list_uids=393911","393911")</f>
        <v>393911</v>
      </c>
      <c r="K289" s="6" t="str">
        <f>HYPERLINK("http://www.ncbi.nlm.nih.gov/entrez/query.fcgi?cmd=Search&amp;db=Nucleotide&amp;term=NM_200937","NM_200937")</f>
        <v>NM_200937</v>
      </c>
      <c r="L289" s="4" t="s">
        <v>77</v>
      </c>
      <c r="M289" s="4">
        <v>9668648</v>
      </c>
      <c r="N289" s="4">
        <v>9679879</v>
      </c>
      <c r="O289" s="4" t="s">
        <v>23</v>
      </c>
      <c r="P289" s="4"/>
      <c r="Q289" s="4"/>
      <c r="R289" s="4"/>
      <c r="S289" s="4"/>
      <c r="T289" s="3" t="s">
        <v>88</v>
      </c>
      <c r="U289" s="3" t="s">
        <v>89</v>
      </c>
      <c r="V289" s="4"/>
    </row>
    <row r="290" spans="1:22" customFormat="1" x14ac:dyDescent="0.15">
      <c r="A290" s="3" t="s">
        <v>284</v>
      </c>
      <c r="B290" s="3" t="s">
        <v>285</v>
      </c>
      <c r="C290" s="3" t="s">
        <v>283</v>
      </c>
      <c r="D290" s="4">
        <v>3.915</v>
      </c>
      <c r="E290" s="4">
        <v>6.34</v>
      </c>
      <c r="F290" s="4">
        <v>5.41</v>
      </c>
      <c r="G290" s="4">
        <v>11.11</v>
      </c>
      <c r="H290" s="5">
        <f t="shared" si="4"/>
        <v>2.0536044362292052</v>
      </c>
      <c r="I290" s="6" t="str">
        <f>HYPERLINK("http://genome.ucsc.edu/cgi-bin/hgTracks?clade=vertebrate&amp;org=Zebrafish&amp;db=danRer7&amp;position=chr8:15601337-15679281","chr8:15601337-15679281")</f>
        <v>chr8:15601337-15679281</v>
      </c>
      <c r="J290" s="6" t="str">
        <f>HYPERLINK("http://www.ncbi.nlm.nih.gov/entrez/query.fcgi?db=gene&amp;cmd=Retrieve&amp;list_uids=570610","570610")</f>
        <v>570610</v>
      </c>
      <c r="K290" s="6" t="str">
        <f>HYPERLINK("http://www.ncbi.nlm.nih.gov/entrez/query.fcgi?cmd=Search&amp;db=Nucleotide&amp;term=NM_001113620","NM_001113620")</f>
        <v>NM_001113620</v>
      </c>
      <c r="L290" s="4" t="s">
        <v>78</v>
      </c>
      <c r="M290" s="4">
        <v>15601337</v>
      </c>
      <c r="N290" s="4">
        <v>15679281</v>
      </c>
      <c r="O290" s="4" t="s">
        <v>19</v>
      </c>
      <c r="P290" s="3" t="s">
        <v>42</v>
      </c>
      <c r="Q290" s="3" t="s">
        <v>43</v>
      </c>
      <c r="R290" s="3" t="s">
        <v>137</v>
      </c>
      <c r="S290" s="3" t="s">
        <v>138</v>
      </c>
      <c r="T290" s="3" t="s">
        <v>286</v>
      </c>
      <c r="U290" s="3" t="s">
        <v>287</v>
      </c>
      <c r="V290" s="4"/>
    </row>
    <row r="291" spans="1:22" customFormat="1" x14ac:dyDescent="0.15">
      <c r="A291" s="3" t="s">
        <v>1547</v>
      </c>
      <c r="B291" s="3" t="s">
        <v>1547</v>
      </c>
      <c r="C291" s="3" t="s">
        <v>1546</v>
      </c>
      <c r="D291" s="4">
        <v>1.762</v>
      </c>
      <c r="E291" s="4">
        <v>2.79</v>
      </c>
      <c r="F291" s="4">
        <v>3.01</v>
      </c>
      <c r="G291" s="4">
        <v>6.18</v>
      </c>
      <c r="H291" s="5">
        <f t="shared" si="4"/>
        <v>2.0531561461794019</v>
      </c>
      <c r="I291" s="6" t="str">
        <f>HYPERLINK("http://genome.ucsc.edu/cgi-bin/hgTracks?clade=vertebrate&amp;org=Zebrafish&amp;db=danRer7&amp;position=chr16:15829388-15839582","chr16:15829388-15839582")</f>
        <v>chr16:15829388-15839582</v>
      </c>
      <c r="J291" s="6" t="str">
        <f>HYPERLINK("http://www.ncbi.nlm.nih.gov/entrez/query.fcgi?db=gene&amp;cmd=Retrieve&amp;list_uids=723998","723998")</f>
        <v>723998</v>
      </c>
      <c r="K291" s="6" t="str">
        <f>HYPERLINK("http://www.ncbi.nlm.nih.gov/entrez/query.fcgi?cmd=Search&amp;db=Nucleotide&amp;term=NM_001045303","NM_001045303")</f>
        <v>NM_001045303</v>
      </c>
      <c r="L291" s="4" t="s">
        <v>71</v>
      </c>
      <c r="M291" s="4">
        <v>15829388</v>
      </c>
      <c r="N291" s="4">
        <v>15839582</v>
      </c>
      <c r="O291" s="4" t="s">
        <v>19</v>
      </c>
      <c r="P291" s="4"/>
      <c r="Q291" s="4"/>
      <c r="R291" s="3" t="s">
        <v>137</v>
      </c>
      <c r="S291" s="3" t="s">
        <v>138</v>
      </c>
      <c r="T291" s="3" t="s">
        <v>88</v>
      </c>
      <c r="U291" s="3" t="s">
        <v>89</v>
      </c>
      <c r="V291" s="4"/>
    </row>
    <row r="292" spans="1:22" customFormat="1" x14ac:dyDescent="0.15">
      <c r="A292" s="3" t="s">
        <v>1563</v>
      </c>
      <c r="B292" s="3" t="s">
        <v>1563</v>
      </c>
      <c r="C292" s="3" t="s">
        <v>1562</v>
      </c>
      <c r="D292" s="4">
        <v>1.268</v>
      </c>
      <c r="E292" s="4">
        <v>15.46</v>
      </c>
      <c r="F292" s="4">
        <v>10.75</v>
      </c>
      <c r="G292" s="4">
        <v>22.06</v>
      </c>
      <c r="H292" s="5">
        <f t="shared" si="4"/>
        <v>2.0520930232558139</v>
      </c>
      <c r="I292" s="6" t="str">
        <f>HYPERLINK("http://genome.ucsc.edu/cgi-bin/hgTracks?clade=vertebrate&amp;org=Zebrafish&amp;db=danRer7&amp;position=chr2:81939-87432","chr2:81939-87432")</f>
        <v>chr2:81939-87432</v>
      </c>
      <c r="J292" s="6" t="str">
        <f>HYPERLINK("http://www.ncbi.nlm.nih.gov/entrez/query.fcgi?db=gene&amp;cmd=Retrieve&amp;list_uids=100009644","100009644")</f>
        <v>100009644</v>
      </c>
      <c r="K292" s="6" t="str">
        <f>HYPERLINK("http://www.ncbi.nlm.nih.gov/entrez/query.fcgi?cmd=Search&amp;db=Nucleotide&amp;term=NM_001083013","NM_001083013")</f>
        <v>NM_001083013</v>
      </c>
      <c r="L292" s="4" t="s">
        <v>79</v>
      </c>
      <c r="M292" s="4">
        <v>81939</v>
      </c>
      <c r="N292" s="4">
        <v>87432</v>
      </c>
      <c r="O292" s="4" t="s">
        <v>23</v>
      </c>
      <c r="P292" s="3" t="s">
        <v>65</v>
      </c>
      <c r="Q292" s="3" t="s">
        <v>66</v>
      </c>
      <c r="R292" s="3" t="s">
        <v>67</v>
      </c>
      <c r="S292" s="3" t="s">
        <v>68</v>
      </c>
      <c r="T292" s="3" t="s">
        <v>24</v>
      </c>
      <c r="U292" s="3" t="s">
        <v>25</v>
      </c>
      <c r="V292" s="4"/>
    </row>
    <row r="293" spans="1:22" customFormat="1" x14ac:dyDescent="0.15">
      <c r="A293" s="3" t="s">
        <v>550</v>
      </c>
      <c r="B293" s="3" t="s">
        <v>551</v>
      </c>
      <c r="C293" s="3" t="s">
        <v>549</v>
      </c>
      <c r="D293" s="4">
        <v>2.7360000000000002</v>
      </c>
      <c r="E293" s="4">
        <v>18.989999999999998</v>
      </c>
      <c r="F293" s="4">
        <v>15.32</v>
      </c>
      <c r="G293" s="4">
        <v>31.42</v>
      </c>
      <c r="H293" s="5">
        <f t="shared" si="4"/>
        <v>2.0509138381201044</v>
      </c>
      <c r="I293" s="6" t="str">
        <f>HYPERLINK("http://genome.ucsc.edu/cgi-bin/hgTracks?clade=vertebrate&amp;org=Zebrafish&amp;db=danRer7&amp;position=chr6:13942622-13949403","chr6:13942622-13949403")</f>
        <v>chr6:13942622-13949403</v>
      </c>
      <c r="J293" s="6" t="str">
        <f>HYPERLINK("http://www.ncbi.nlm.nih.gov/entrez/query.fcgi?db=gene&amp;cmd=Retrieve&amp;list_uids=30452","30452")</f>
        <v>30452</v>
      </c>
      <c r="K293" s="6" t="str">
        <f>HYPERLINK("http://www.ncbi.nlm.nih.gov/entrez/query.fcgi?cmd=Search&amp;db=Nucleotide&amp;term=NM_131205","NM_131205")</f>
        <v>NM_131205</v>
      </c>
      <c r="L293" s="4" t="s">
        <v>46</v>
      </c>
      <c r="M293" s="4">
        <v>13942622</v>
      </c>
      <c r="N293" s="4">
        <v>13949403</v>
      </c>
      <c r="O293" s="4" t="s">
        <v>19</v>
      </c>
      <c r="P293" s="3" t="s">
        <v>151</v>
      </c>
      <c r="Q293" s="3" t="s">
        <v>152</v>
      </c>
      <c r="R293" s="3" t="s">
        <v>61</v>
      </c>
      <c r="S293" s="3" t="s">
        <v>62</v>
      </c>
      <c r="T293" s="3" t="s">
        <v>552</v>
      </c>
      <c r="U293" s="3" t="s">
        <v>553</v>
      </c>
      <c r="V293" s="4"/>
    </row>
    <row r="294" spans="1:22" customFormat="1" x14ac:dyDescent="0.15">
      <c r="A294" s="3" t="s">
        <v>750</v>
      </c>
      <c r="B294" s="3" t="s">
        <v>751</v>
      </c>
      <c r="C294" s="3" t="s">
        <v>749</v>
      </c>
      <c r="D294" s="4">
        <v>2.988</v>
      </c>
      <c r="E294" s="4">
        <v>4.3499999999999996</v>
      </c>
      <c r="F294" s="4">
        <v>3.26</v>
      </c>
      <c r="G294" s="4">
        <v>6.68</v>
      </c>
      <c r="H294" s="5">
        <f t="shared" si="4"/>
        <v>2.0490797546012272</v>
      </c>
      <c r="I294" s="6" t="str">
        <f>HYPERLINK("http://genome.ucsc.edu/cgi-bin/hgTracks?clade=vertebrate&amp;org=Zebrafish&amp;db=danRer7&amp;position=chr19:19225441-19226631","chr19:19225441-19226631")</f>
        <v>chr19:19225441-19226631</v>
      </c>
      <c r="J294" s="6" t="str">
        <f>HYPERLINK("http://www.ncbi.nlm.nih.gov/entrez/query.fcgi?db=gene&amp;cmd=Retrieve&amp;list_uids=58055","58055")</f>
        <v>58055</v>
      </c>
      <c r="K294" s="6" t="str">
        <f>HYPERLINK("http://www.ncbi.nlm.nih.gov/entrez/query.fcgi?cmd=Search&amp;db=Nucleotide&amp;term=NM_131540","NM_131540")</f>
        <v>NM_131540</v>
      </c>
      <c r="L294" s="4" t="s">
        <v>70</v>
      </c>
      <c r="M294" s="4">
        <v>19225441</v>
      </c>
      <c r="N294" s="4">
        <v>19226631</v>
      </c>
      <c r="O294" s="4" t="s">
        <v>23</v>
      </c>
      <c r="P294" s="3" t="s">
        <v>236</v>
      </c>
      <c r="Q294" s="3" t="s">
        <v>237</v>
      </c>
      <c r="R294" s="3" t="s">
        <v>61</v>
      </c>
      <c r="S294" s="3" t="s">
        <v>62</v>
      </c>
      <c r="T294" s="3" t="s">
        <v>191</v>
      </c>
      <c r="U294" s="3" t="s">
        <v>192</v>
      </c>
      <c r="V294" s="4"/>
    </row>
    <row r="295" spans="1:22" customFormat="1" x14ac:dyDescent="0.15">
      <c r="A295" s="3" t="s">
        <v>1476</v>
      </c>
      <c r="B295" s="3" t="s">
        <v>1477</v>
      </c>
      <c r="C295" s="3" t="s">
        <v>1475</v>
      </c>
      <c r="D295" s="4">
        <v>4.3289999999999997</v>
      </c>
      <c r="E295" s="4">
        <v>10.94</v>
      </c>
      <c r="F295" s="4">
        <v>9.08</v>
      </c>
      <c r="G295" s="4">
        <v>18.559999999999999</v>
      </c>
      <c r="H295" s="5">
        <f t="shared" si="4"/>
        <v>2.0440528634361232</v>
      </c>
      <c r="I295" s="6" t="str">
        <f>HYPERLINK("http://genome.ucsc.edu/cgi-bin/hgTracks?clade=vertebrate&amp;org=Zebrafish&amp;db=danRer7&amp;position=chr3:36284159-36305521","chr3:36284159-36305521")</f>
        <v>chr3:36284159-36305521</v>
      </c>
      <c r="J295" s="6" t="str">
        <f>HYPERLINK("http://www.ncbi.nlm.nih.gov/entrez/query.fcgi?db=gene&amp;cmd=Retrieve&amp;list_uids=393362","393362")</f>
        <v>393362</v>
      </c>
      <c r="K295" s="6" t="str">
        <f>HYPERLINK("http://www.ncbi.nlm.nih.gov/entrez/query.fcgi?cmd=Search&amp;db=Nucleotide&amp;term=NM_200391","NM_200391")</f>
        <v>NM_200391</v>
      </c>
      <c r="L295" s="4" t="s">
        <v>47</v>
      </c>
      <c r="M295" s="4">
        <v>36284159</v>
      </c>
      <c r="N295" s="4">
        <v>36305521</v>
      </c>
      <c r="O295" s="4" t="s">
        <v>23</v>
      </c>
      <c r="P295" s="3" t="s">
        <v>1478</v>
      </c>
      <c r="Q295" s="3" t="s">
        <v>1479</v>
      </c>
      <c r="R295" s="3" t="s">
        <v>1480</v>
      </c>
      <c r="S295" s="3" t="s">
        <v>1481</v>
      </c>
      <c r="T295" s="3" t="s">
        <v>1482</v>
      </c>
      <c r="U295" s="3" t="s">
        <v>1483</v>
      </c>
      <c r="V295" s="4"/>
    </row>
    <row r="296" spans="1:22" customFormat="1" x14ac:dyDescent="0.15">
      <c r="A296" s="3" t="s">
        <v>567</v>
      </c>
      <c r="B296" s="3" t="s">
        <v>568</v>
      </c>
      <c r="C296" s="3" t="s">
        <v>566</v>
      </c>
      <c r="D296" s="4">
        <v>2.1850000000000001</v>
      </c>
      <c r="E296" s="4">
        <v>53.57</v>
      </c>
      <c r="F296" s="4">
        <v>77.180000000000007</v>
      </c>
      <c r="G296" s="4">
        <v>157.44999999999999</v>
      </c>
      <c r="H296" s="5">
        <f t="shared" si="4"/>
        <v>2.0400362788287119</v>
      </c>
      <c r="I296" s="6" t="str">
        <f>HYPERLINK("http://genome.ucsc.edu/cgi-bin/hgTracks?clade=vertebrate&amp;org=Zebrafish&amp;db=danRer7&amp;position=chr17:15274767-15277114","chr17:15274767-15277114")</f>
        <v>chr17:15274767-15277114</v>
      </c>
      <c r="J296" s="6" t="str">
        <f>HYPERLINK("http://www.ncbi.nlm.nih.gov/entrez/query.fcgi?db=gene&amp;cmd=Retrieve&amp;list_uids=58128","58128")</f>
        <v>58128</v>
      </c>
      <c r="K296" s="6" t="str">
        <f>HYPERLINK("http://www.ncbi.nlm.nih.gov/entrez/query.fcgi?cmd=Search&amp;db=Nucleotide&amp;term=NM_131605","NM_131605")</f>
        <v>NM_131605</v>
      </c>
      <c r="L296" s="4" t="s">
        <v>84</v>
      </c>
      <c r="M296" s="4">
        <v>15274767</v>
      </c>
      <c r="N296" s="4">
        <v>15277114</v>
      </c>
      <c r="O296" s="4" t="s">
        <v>23</v>
      </c>
      <c r="P296" s="3" t="s">
        <v>99</v>
      </c>
      <c r="Q296" s="3" t="s">
        <v>100</v>
      </c>
      <c r="R296" s="4"/>
      <c r="S296" s="4"/>
      <c r="T296" s="3" t="s">
        <v>564</v>
      </c>
      <c r="U296" s="3" t="s">
        <v>565</v>
      </c>
      <c r="V296" s="4"/>
    </row>
    <row r="297" spans="1:22" customFormat="1" x14ac:dyDescent="0.15">
      <c r="A297" s="3" t="s">
        <v>253</v>
      </c>
      <c r="B297" s="3" t="s">
        <v>254</v>
      </c>
      <c r="C297" s="3" t="s">
        <v>252</v>
      </c>
      <c r="D297" s="4">
        <v>2.5950000000000002</v>
      </c>
      <c r="E297" s="4">
        <v>3.17</v>
      </c>
      <c r="F297" s="4">
        <v>3.27</v>
      </c>
      <c r="G297" s="4">
        <v>6.67</v>
      </c>
      <c r="H297" s="5">
        <f t="shared" si="4"/>
        <v>2.0397553516819573</v>
      </c>
      <c r="I297" s="6" t="str">
        <f>HYPERLINK("http://genome.ucsc.edu/cgi-bin/hgTracks?clade=vertebrate&amp;org=Zebrafish&amp;db=danRer7&amp;position=chr17:45905649-45942108","chr17:45905649-45942108")</f>
        <v>chr17:45905649-45942108</v>
      </c>
      <c r="J297" s="6" t="str">
        <f>HYPERLINK("http://www.ncbi.nlm.nih.gov/entrez/query.fcgi?db=gene&amp;cmd=Retrieve&amp;list_uids=100124594","100124594")</f>
        <v>100124594</v>
      </c>
      <c r="K297" s="6" t="str">
        <f>HYPERLINK("http://www.ncbi.nlm.nih.gov/entrez/query.fcgi?cmd=Search&amp;db=Nucleotide&amp;term=NM_001102621","NM_001102621")</f>
        <v>NM_001102621</v>
      </c>
      <c r="L297" s="4" t="s">
        <v>84</v>
      </c>
      <c r="M297" s="4">
        <v>45905649</v>
      </c>
      <c r="N297" s="4">
        <v>45942108</v>
      </c>
      <c r="O297" s="4" t="s">
        <v>23</v>
      </c>
      <c r="P297" s="3" t="s">
        <v>255</v>
      </c>
      <c r="Q297" s="3" t="s">
        <v>256</v>
      </c>
      <c r="R297" s="3" t="s">
        <v>67</v>
      </c>
      <c r="S297" s="3" t="s">
        <v>68</v>
      </c>
      <c r="T297" s="3" t="s">
        <v>257</v>
      </c>
      <c r="U297" s="3" t="s">
        <v>258</v>
      </c>
      <c r="V297" s="4"/>
    </row>
    <row r="298" spans="1:22" customFormat="1" x14ac:dyDescent="0.15">
      <c r="A298" s="3" t="s">
        <v>799</v>
      </c>
      <c r="B298" s="3" t="s">
        <v>800</v>
      </c>
      <c r="C298" s="3" t="s">
        <v>798</v>
      </c>
      <c r="D298" s="4">
        <v>3.4780000000000002</v>
      </c>
      <c r="E298" s="4">
        <v>4.4400000000000004</v>
      </c>
      <c r="F298" s="4">
        <v>9.39</v>
      </c>
      <c r="G298" s="4">
        <v>19.079999999999998</v>
      </c>
      <c r="H298" s="5">
        <f t="shared" si="4"/>
        <v>2.0319488817891371</v>
      </c>
      <c r="I298" s="6" t="str">
        <f>HYPERLINK("http://genome.ucsc.edu/cgi-bin/hgTracks?clade=vertebrate&amp;org=Zebrafish&amp;db=danRer7&amp;position=chr10:7783983-7803832","chr10:7783983-7803832")</f>
        <v>chr10:7783983-7803832</v>
      </c>
      <c r="J298" s="6" t="str">
        <f>HYPERLINK("http://www.ncbi.nlm.nih.gov/entrez/query.fcgi?db=gene&amp;cmd=Retrieve&amp;list_uids=100006778","100006778")</f>
        <v>100006778</v>
      </c>
      <c r="K298" s="6" t="str">
        <f>HYPERLINK("http://www.ncbi.nlm.nih.gov/entrez/query.fcgi?cmd=Search&amp;db=Nucleotide&amp;term=NM_001113504","NM_001113504")</f>
        <v>NM_001113504</v>
      </c>
      <c r="L298" s="4" t="s">
        <v>92</v>
      </c>
      <c r="M298" s="4">
        <v>7783983</v>
      </c>
      <c r="N298" s="4">
        <v>7803832</v>
      </c>
      <c r="O298" s="4" t="s">
        <v>19</v>
      </c>
      <c r="P298" s="3" t="s">
        <v>801</v>
      </c>
      <c r="Q298" s="3" t="s">
        <v>802</v>
      </c>
      <c r="R298" s="4"/>
      <c r="S298" s="4"/>
      <c r="T298" s="4"/>
      <c r="U298" s="4"/>
      <c r="V298" s="4"/>
    </row>
    <row r="299" spans="1:22" customFormat="1" x14ac:dyDescent="0.15">
      <c r="A299" s="3" t="s">
        <v>1391</v>
      </c>
      <c r="B299" s="3" t="s">
        <v>1392</v>
      </c>
      <c r="C299" s="3" t="s">
        <v>1390</v>
      </c>
      <c r="D299" s="4">
        <v>4.6550000000000002</v>
      </c>
      <c r="E299" s="4">
        <v>5.09</v>
      </c>
      <c r="F299" s="4">
        <v>8.5</v>
      </c>
      <c r="G299" s="4">
        <v>17.27</v>
      </c>
      <c r="H299" s="5">
        <f t="shared" si="4"/>
        <v>2.0317647058823529</v>
      </c>
      <c r="I299" s="6" t="str">
        <f>HYPERLINK("http://genome.ucsc.edu/cgi-bin/hgTracks?clade=vertebrate&amp;org=Zebrafish&amp;db=danRer7&amp;position=chr3:16650646-16727426","chr3:16650646-16727426")</f>
        <v>chr3:16650646-16727426</v>
      </c>
      <c r="J299" s="6" t="str">
        <f>HYPERLINK("http://www.ncbi.nlm.nih.gov/entrez/query.fcgi?db=gene&amp;cmd=Retrieve&amp;list_uids=30767","30767")</f>
        <v>30767</v>
      </c>
      <c r="K299" s="6" t="str">
        <f>HYPERLINK("http://www.ncbi.nlm.nih.gov/entrez/query.fcgi?cmd=Search&amp;db=Nucleotide&amp;term=NM_131479","NM_131479")</f>
        <v>NM_131479</v>
      </c>
      <c r="L299" s="4" t="s">
        <v>47</v>
      </c>
      <c r="M299" s="4">
        <v>16650646</v>
      </c>
      <c r="N299" s="4">
        <v>16727426</v>
      </c>
      <c r="O299" s="4" t="s">
        <v>23</v>
      </c>
      <c r="P299" s="3" t="s">
        <v>1393</v>
      </c>
      <c r="Q299" s="3" t="s">
        <v>1394</v>
      </c>
      <c r="R299" s="3" t="s">
        <v>61</v>
      </c>
      <c r="S299" s="3" t="s">
        <v>62</v>
      </c>
      <c r="T299" s="3" t="s">
        <v>1388</v>
      </c>
      <c r="U299" s="3" t="s">
        <v>1389</v>
      </c>
      <c r="V299" s="4"/>
    </row>
    <row r="300" spans="1:22" customFormat="1" x14ac:dyDescent="0.15">
      <c r="A300" s="3" t="s">
        <v>1591</v>
      </c>
      <c r="B300" s="3" t="s">
        <v>1591</v>
      </c>
      <c r="C300" s="3" t="s">
        <v>1590</v>
      </c>
      <c r="D300" s="4">
        <v>5.8460000000000001</v>
      </c>
      <c r="E300" s="4">
        <v>2.98</v>
      </c>
      <c r="F300" s="4">
        <v>2.64</v>
      </c>
      <c r="G300" s="4">
        <v>5.36</v>
      </c>
      <c r="H300" s="5">
        <f t="shared" si="4"/>
        <v>2.0303030303030303</v>
      </c>
      <c r="I300" s="6" t="str">
        <f>HYPERLINK("http://genome.ucsc.edu/cgi-bin/hgTracks?clade=vertebrate&amp;org=Zebrafish&amp;db=danRer7&amp;position=chr24:39164155-39183931","chr24:39164155-39183931")</f>
        <v>chr24:39164155-39183931</v>
      </c>
      <c r="J300" s="6" t="str">
        <f>HYPERLINK("http://www.ncbi.nlm.nih.gov/entrez/query.fcgi?db=gene&amp;cmd=Retrieve&amp;list_uids=100136846","100136846")</f>
        <v>100136846</v>
      </c>
      <c r="K300" s="6" t="str">
        <f>HYPERLINK("http://www.ncbi.nlm.nih.gov/entrez/query.fcgi?cmd=Search&amp;db=Nucleotide&amp;term=NM_001114565","NM_001114565")</f>
        <v>NM_001114565</v>
      </c>
      <c r="L300" s="4" t="s">
        <v>69</v>
      </c>
      <c r="M300" s="4">
        <v>39164155</v>
      </c>
      <c r="N300" s="4">
        <v>39183931</v>
      </c>
      <c r="O300" s="4" t="s">
        <v>19</v>
      </c>
      <c r="P300" s="3" t="s">
        <v>65</v>
      </c>
      <c r="Q300" s="3" t="s">
        <v>66</v>
      </c>
      <c r="R300" s="3" t="s">
        <v>67</v>
      </c>
      <c r="S300" s="3" t="s">
        <v>68</v>
      </c>
      <c r="T300" s="3" t="s">
        <v>24</v>
      </c>
      <c r="U300" s="3" t="s">
        <v>25</v>
      </c>
      <c r="V300" s="4"/>
    </row>
    <row r="301" spans="1:22" customFormat="1" x14ac:dyDescent="0.15">
      <c r="A301" s="3" t="s">
        <v>1604</v>
      </c>
      <c r="B301" s="3" t="s">
        <v>1604</v>
      </c>
      <c r="C301" s="3" t="s">
        <v>1603</v>
      </c>
      <c r="D301" s="4">
        <v>1.333</v>
      </c>
      <c r="E301" s="4">
        <v>3.03</v>
      </c>
      <c r="F301" s="4">
        <v>3.05</v>
      </c>
      <c r="G301" s="4">
        <v>6.18</v>
      </c>
      <c r="H301" s="5">
        <f t="shared" si="4"/>
        <v>2.0262295081967214</v>
      </c>
      <c r="I301" s="6" t="str">
        <f>HYPERLINK("http://genome.ucsc.edu/cgi-bin/hgTracks?clade=vertebrate&amp;org=Zebrafish&amp;db=danRer7&amp;position=chr12:49633438-49635562","chr12:49633438-49635562")</f>
        <v>chr12:49633438-49635562</v>
      </c>
      <c r="J301" s="6" t="str">
        <f>HYPERLINK("http://www.ncbi.nlm.nih.gov/entrez/query.fcgi?db=gene&amp;cmd=Retrieve&amp;list_uids=378866","378866")</f>
        <v>378866</v>
      </c>
      <c r="K301" s="6" t="str">
        <f>HYPERLINK("http://www.ncbi.nlm.nih.gov/entrez/query.fcgi?cmd=Search&amp;db=Nucleotide&amp;term=NM_200107","NM_200107")</f>
        <v>NM_200107</v>
      </c>
      <c r="L301" s="4" t="s">
        <v>57</v>
      </c>
      <c r="M301" s="4">
        <v>49633438</v>
      </c>
      <c r="N301" s="4">
        <v>49635562</v>
      </c>
      <c r="O301" s="4" t="s">
        <v>23</v>
      </c>
      <c r="P301" s="3" t="s">
        <v>1605</v>
      </c>
      <c r="Q301" s="3" t="s">
        <v>1606</v>
      </c>
      <c r="R301" s="3" t="s">
        <v>53</v>
      </c>
      <c r="S301" s="3" t="s">
        <v>54</v>
      </c>
      <c r="T301" s="4"/>
      <c r="U301" s="4"/>
      <c r="V301" s="4"/>
    </row>
    <row r="302" spans="1:22" customFormat="1" x14ac:dyDescent="0.15">
      <c r="A302" s="3" t="s">
        <v>1097</v>
      </c>
      <c r="B302" s="3" t="s">
        <v>1098</v>
      </c>
      <c r="C302" s="3" t="s">
        <v>1096</v>
      </c>
      <c r="D302" s="4">
        <v>4.0060000000000002</v>
      </c>
      <c r="E302" s="4">
        <v>5.6</v>
      </c>
      <c r="F302" s="4">
        <v>3.27</v>
      </c>
      <c r="G302" s="4">
        <v>6.61</v>
      </c>
      <c r="H302" s="5">
        <f t="shared" si="4"/>
        <v>2.0214067278287464</v>
      </c>
      <c r="I302" s="6" t="str">
        <f>HYPERLINK("http://genome.ucsc.edu/cgi-bin/hgTracks?clade=vertebrate&amp;org=Zebrafish&amp;db=danRer7&amp;position=chr3:15410534-15414836","chr3:15410534-15414836")</f>
        <v>chr3:15410534-15414836</v>
      </c>
      <c r="J302" s="6" t="str">
        <f>HYPERLINK("http://www.ncbi.nlm.nih.gov/entrez/query.fcgi?db=gene&amp;cmd=Retrieve&amp;list_uids=100002812","100002812")</f>
        <v>100002812</v>
      </c>
      <c r="K302" s="6" t="str">
        <f>HYPERLINK("http://www.ncbi.nlm.nih.gov/entrez/query.fcgi?cmd=Search&amp;db=Nucleotide&amp;term=NM_001003461","NM_001003461")</f>
        <v>NM_001003461</v>
      </c>
      <c r="L302" s="4" t="s">
        <v>47</v>
      </c>
      <c r="M302" s="4">
        <v>15410534</v>
      </c>
      <c r="N302" s="4">
        <v>15414836</v>
      </c>
      <c r="O302" s="4" t="s">
        <v>23</v>
      </c>
      <c r="P302" s="3" t="s">
        <v>1099</v>
      </c>
      <c r="Q302" s="3" t="s">
        <v>1100</v>
      </c>
      <c r="R302" s="3" t="s">
        <v>67</v>
      </c>
      <c r="S302" s="3" t="s">
        <v>68</v>
      </c>
      <c r="T302" s="3" t="s">
        <v>1101</v>
      </c>
      <c r="U302" s="3" t="s">
        <v>1102</v>
      </c>
      <c r="V302" s="4"/>
    </row>
    <row r="303" spans="1:22" customFormat="1" x14ac:dyDescent="0.15">
      <c r="A303" s="3" t="s">
        <v>1107</v>
      </c>
      <c r="B303" s="3" t="s">
        <v>1108</v>
      </c>
      <c r="C303" s="3" t="s">
        <v>1106</v>
      </c>
      <c r="D303" s="4">
        <v>2.4590000000000001</v>
      </c>
      <c r="E303" s="4">
        <v>6.36</v>
      </c>
      <c r="F303" s="4">
        <v>6.74</v>
      </c>
      <c r="G303" s="4">
        <v>13.62</v>
      </c>
      <c r="H303" s="5">
        <f t="shared" si="4"/>
        <v>2.0207715133531154</v>
      </c>
      <c r="I303" s="6" t="str">
        <f>HYPERLINK("http://genome.ucsc.edu/cgi-bin/hgTracks?clade=vertebrate&amp;org=Zebrafish&amp;db=danRer7&amp;position=chr8:9472730-9478902","chr8:9472730-9478902")</f>
        <v>chr8:9472730-9478902</v>
      </c>
      <c r="J303" s="6" t="str">
        <f>HYPERLINK("http://www.ncbi.nlm.nih.gov/entrez/query.fcgi?db=gene&amp;cmd=Retrieve&amp;list_uids=58054","58054")</f>
        <v>58054</v>
      </c>
      <c r="K303" s="6" t="str">
        <f>HYPERLINK("http://www.ncbi.nlm.nih.gov/entrez/query.fcgi?cmd=Search&amp;db=Nucleotide&amp;term=NM_131539","NM_131539")</f>
        <v>NM_131539</v>
      </c>
      <c r="L303" s="4" t="s">
        <v>78</v>
      </c>
      <c r="M303" s="4">
        <v>9472730</v>
      </c>
      <c r="N303" s="4">
        <v>9478902</v>
      </c>
      <c r="O303" s="4" t="s">
        <v>23</v>
      </c>
      <c r="P303" s="3" t="s">
        <v>1109</v>
      </c>
      <c r="Q303" s="3" t="s">
        <v>1110</v>
      </c>
      <c r="R303" s="4"/>
      <c r="S303" s="4"/>
      <c r="T303" s="3" t="s">
        <v>1111</v>
      </c>
      <c r="U303" s="3" t="s">
        <v>1112</v>
      </c>
      <c r="V303" s="4"/>
    </row>
    <row r="304" spans="1:22" customFormat="1" x14ac:dyDescent="0.15">
      <c r="A304" s="3" t="s">
        <v>952</v>
      </c>
      <c r="B304" s="3" t="s">
        <v>953</v>
      </c>
      <c r="C304" s="3" t="s">
        <v>951</v>
      </c>
      <c r="D304" s="4">
        <v>0.56100000000000005</v>
      </c>
      <c r="E304" s="4">
        <v>3.47</v>
      </c>
      <c r="F304" s="4">
        <v>2.95</v>
      </c>
      <c r="G304" s="4">
        <v>5.96</v>
      </c>
      <c r="H304" s="5">
        <f t="shared" si="4"/>
        <v>2.0203389830508471</v>
      </c>
      <c r="I304" s="6" t="str">
        <f>HYPERLINK("http://genome.ucsc.edu/cgi-bin/hgTracks?clade=vertebrate&amp;org=Zebrafish&amp;db=danRer7&amp;position=chr1:47617711-47618581","chr1:47617711-47618581")</f>
        <v>chr1:47617711-47618581</v>
      </c>
      <c r="J304" s="6" t="str">
        <f>HYPERLINK("http://www.ncbi.nlm.nih.gov/entrez/query.fcgi?db=gene&amp;cmd=Retrieve&amp;list_uids=378479","378479")</f>
        <v>378479</v>
      </c>
      <c r="K304" s="6" t="str">
        <f>HYPERLINK("http://www.ncbi.nlm.nih.gov/entrez/query.fcgi?cmd=Search&amp;db=Nucleotide&amp;term=NM_194425","NM_194425")</f>
        <v>NM_194425</v>
      </c>
      <c r="L304" s="4" t="s">
        <v>63</v>
      </c>
      <c r="M304" s="4">
        <v>47617711</v>
      </c>
      <c r="N304" s="4">
        <v>47618581</v>
      </c>
      <c r="O304" s="4" t="s">
        <v>19</v>
      </c>
      <c r="P304" s="3" t="s">
        <v>954</v>
      </c>
      <c r="Q304" s="3" t="s">
        <v>955</v>
      </c>
      <c r="R304" s="3" t="s">
        <v>956</v>
      </c>
      <c r="S304" s="3" t="s">
        <v>957</v>
      </c>
      <c r="T304" s="4"/>
      <c r="U304" s="4"/>
      <c r="V304" s="4"/>
    </row>
    <row r="305" spans="1:22" customFormat="1" x14ac:dyDescent="0.15">
      <c r="A305" s="3" t="s">
        <v>1157</v>
      </c>
      <c r="B305" s="3" t="s">
        <v>1158</v>
      </c>
      <c r="C305" s="3" t="s">
        <v>1156</v>
      </c>
      <c r="D305" s="4">
        <v>2.5329999999999999</v>
      </c>
      <c r="E305" s="4">
        <v>2.65</v>
      </c>
      <c r="F305" s="4">
        <v>4.9800000000000004</v>
      </c>
      <c r="G305" s="4">
        <v>10.06</v>
      </c>
      <c r="H305" s="5">
        <f t="shared" si="4"/>
        <v>2.0200803212851404</v>
      </c>
      <c r="I305" s="6" t="str">
        <f>HYPERLINK("http://genome.ucsc.edu/cgi-bin/hgTracks?clade=vertebrate&amp;org=Zebrafish&amp;db=danRer7&amp;position=chr20:34146431-34152005","chr20:34146431-34152005")</f>
        <v>chr20:34146431-34152005</v>
      </c>
      <c r="J305" s="6" t="str">
        <f>HYPERLINK("http://www.ncbi.nlm.nih.gov/entrez/query.fcgi?db=gene&amp;cmd=Retrieve&amp;list_uids=559020","559020")</f>
        <v>559020</v>
      </c>
      <c r="K305" s="6" t="str">
        <f>HYPERLINK("http://www.ncbi.nlm.nih.gov/entrez/query.fcgi?cmd=Search&amp;db=Nucleotide&amp;term=NM_001025504","NM_001025504")</f>
        <v>NM_001025504</v>
      </c>
      <c r="L305" s="4" t="s">
        <v>96</v>
      </c>
      <c r="M305" s="4">
        <v>34146431</v>
      </c>
      <c r="N305" s="4">
        <v>34152005</v>
      </c>
      <c r="O305" s="4" t="s">
        <v>19</v>
      </c>
      <c r="P305" s="3" t="s">
        <v>1152</v>
      </c>
      <c r="Q305" s="3" t="s">
        <v>1153</v>
      </c>
      <c r="R305" s="4"/>
      <c r="S305" s="4"/>
      <c r="T305" s="3" t="s">
        <v>1154</v>
      </c>
      <c r="U305" s="3" t="s">
        <v>1155</v>
      </c>
      <c r="V305" s="4"/>
    </row>
    <row r="306" spans="1:22" customFormat="1" x14ac:dyDescent="0.15">
      <c r="A306" s="3" t="s">
        <v>1145</v>
      </c>
      <c r="B306" s="3" t="s">
        <v>1146</v>
      </c>
      <c r="C306" s="3" t="s">
        <v>1144</v>
      </c>
      <c r="D306" s="4">
        <v>2.1760000000000002</v>
      </c>
      <c r="E306" s="4">
        <v>203.99</v>
      </c>
      <c r="F306" s="4">
        <v>169.66</v>
      </c>
      <c r="G306" s="4">
        <v>342.61</v>
      </c>
      <c r="H306" s="5">
        <f t="shared" si="4"/>
        <v>2.0193917246257223</v>
      </c>
      <c r="I306" s="6" t="str">
        <f>HYPERLINK("http://genome.ucsc.edu/cgi-bin/hgTracks?clade=vertebrate&amp;org=Zebrafish&amp;db=danRer7&amp;position=chr24:17576418-17578440","chr24:17576418-17578440")</f>
        <v>chr24:17576418-17578440</v>
      </c>
      <c r="J306" s="6" t="str">
        <f>HYPERLINK("http://www.ncbi.nlm.nih.gov/entrez/query.fcgi?db=gene&amp;cmd=Retrieve&amp;list_uids=336492","336492")</f>
        <v>336492</v>
      </c>
      <c r="K306" s="6" t="str">
        <f>HYPERLINK("http://www.ncbi.nlm.nih.gov/entrez/query.fcgi?cmd=Search&amp;db=Nucleotide&amp;term=NM_213634","NM_213634")</f>
        <v>NM_213634</v>
      </c>
      <c r="L306" s="4" t="s">
        <v>69</v>
      </c>
      <c r="M306" s="4">
        <v>17576418</v>
      </c>
      <c r="N306" s="4">
        <v>17578440</v>
      </c>
      <c r="O306" s="4" t="s">
        <v>19</v>
      </c>
      <c r="P306" s="3" t="s">
        <v>881</v>
      </c>
      <c r="Q306" s="3" t="s">
        <v>882</v>
      </c>
      <c r="R306" s="4"/>
      <c r="S306" s="4"/>
      <c r="T306" s="3" t="s">
        <v>1147</v>
      </c>
      <c r="U306" s="3" t="s">
        <v>1148</v>
      </c>
      <c r="V306" s="4"/>
    </row>
    <row r="307" spans="1:22" customFormat="1" x14ac:dyDescent="0.15">
      <c r="A307" s="3" t="s">
        <v>1471</v>
      </c>
      <c r="B307" s="3" t="s">
        <v>1472</v>
      </c>
      <c r="C307" s="3" t="s">
        <v>1470</v>
      </c>
      <c r="D307" s="4">
        <v>11.342000000000001</v>
      </c>
      <c r="E307" s="4">
        <v>6.59</v>
      </c>
      <c r="F307" s="4">
        <v>7.14</v>
      </c>
      <c r="G307" s="4">
        <v>14.41</v>
      </c>
      <c r="H307" s="5">
        <f t="shared" si="4"/>
        <v>2.0182072829131652</v>
      </c>
      <c r="I307" s="6" t="str">
        <f>HYPERLINK("http://genome.ucsc.edu/cgi-bin/hgTracks?clade=vertebrate&amp;org=Zebrafish&amp;db=danRer7&amp;position=chr8:54270452-54369808","chr8:54270452-54369808")</f>
        <v>chr8:54270452-54369808</v>
      </c>
      <c r="J307" s="6" t="str">
        <f>HYPERLINK("http://www.ncbi.nlm.nih.gov/entrez/query.fcgi?db=gene&amp;cmd=Retrieve&amp;list_uids=378837","378837")</f>
        <v>378837</v>
      </c>
      <c r="K307" s="6" t="str">
        <f>HYPERLINK("http://www.ncbi.nlm.nih.gov/entrez/query.fcgi?cmd=Search&amp;db=Nucleotide&amp;term=NM_001118893","NM_001118893")</f>
        <v>NM_001118893</v>
      </c>
      <c r="L307" s="4" t="s">
        <v>78</v>
      </c>
      <c r="M307" s="4">
        <v>54270452</v>
      </c>
      <c r="N307" s="4">
        <v>54369808</v>
      </c>
      <c r="O307" s="4" t="s">
        <v>19</v>
      </c>
      <c r="P307" s="3" t="s">
        <v>1473</v>
      </c>
      <c r="Q307" s="3" t="s">
        <v>1474</v>
      </c>
      <c r="R307" s="4"/>
      <c r="S307" s="4"/>
      <c r="T307" s="4"/>
      <c r="U307" s="4"/>
      <c r="V307" s="4"/>
    </row>
    <row r="308" spans="1:22" customFormat="1" x14ac:dyDescent="0.15">
      <c r="A308" s="3" t="s">
        <v>534</v>
      </c>
      <c r="B308" s="3" t="s">
        <v>535</v>
      </c>
      <c r="C308" s="3" t="s">
        <v>533</v>
      </c>
      <c r="D308" s="4">
        <v>0.87</v>
      </c>
      <c r="E308" s="4">
        <v>6.27</v>
      </c>
      <c r="F308" s="4">
        <v>6.7</v>
      </c>
      <c r="G308" s="4">
        <v>13.52</v>
      </c>
      <c r="H308" s="5">
        <f t="shared" si="4"/>
        <v>2.017910447761194</v>
      </c>
      <c r="I308" s="6" t="str">
        <f>HYPERLINK("http://genome.ucsc.edu/cgi-bin/hgTracks?clade=vertebrate&amp;org=Zebrafish&amp;db=danRer7&amp;position=chr21:25794819-25799732","chr21:25794819-25799732")</f>
        <v>chr21:25794819-25799732</v>
      </c>
      <c r="J308" s="6" t="str">
        <f>HYPERLINK("http://www.ncbi.nlm.nih.gov/entrez/query.fcgi?db=gene&amp;cmd=Retrieve&amp;list_uids=492482","492482")</f>
        <v>492482</v>
      </c>
      <c r="K308" s="6" t="str">
        <f>HYPERLINK("http://www.ncbi.nlm.nih.gov/entrez/query.fcgi?cmd=Search&amp;db=Nucleotide&amp;term=NM_001007354","NM_001007354")</f>
        <v>NM_001007354</v>
      </c>
      <c r="L308" s="4" t="s">
        <v>83</v>
      </c>
      <c r="M308" s="4">
        <v>25794819</v>
      </c>
      <c r="N308" s="4">
        <v>25799732</v>
      </c>
      <c r="O308" s="4" t="s">
        <v>19</v>
      </c>
      <c r="P308" s="3" t="s">
        <v>536</v>
      </c>
      <c r="Q308" s="3" t="s">
        <v>537</v>
      </c>
      <c r="R308" s="3" t="s">
        <v>67</v>
      </c>
      <c r="S308" s="3" t="s">
        <v>68</v>
      </c>
      <c r="T308" s="3" t="s">
        <v>538</v>
      </c>
      <c r="U308" s="3" t="s">
        <v>539</v>
      </c>
      <c r="V308" s="4"/>
    </row>
    <row r="309" spans="1:22" customFormat="1" x14ac:dyDescent="0.15">
      <c r="A309" s="3" t="s">
        <v>1064</v>
      </c>
      <c r="B309" s="3" t="s">
        <v>1065</v>
      </c>
      <c r="C309" s="3" t="s">
        <v>1063</v>
      </c>
      <c r="D309" s="4">
        <v>6.1130000000000004</v>
      </c>
      <c r="E309" s="4">
        <v>2.35</v>
      </c>
      <c r="F309" s="4">
        <v>2.37</v>
      </c>
      <c r="G309" s="4">
        <v>4.7699999999999996</v>
      </c>
      <c r="H309" s="5">
        <f t="shared" si="4"/>
        <v>2.0126582278481009</v>
      </c>
      <c r="I309" s="6" t="str">
        <f>HYPERLINK("http://genome.ucsc.edu/cgi-bin/hgTracks?clade=vertebrate&amp;org=Zebrafish&amp;db=danRer7&amp;position=chr16:31783448-31787661","chr16:31783448-31787661")</f>
        <v>chr16:31783448-31787661</v>
      </c>
      <c r="J309" s="6" t="str">
        <f>HYPERLINK("http://www.ncbi.nlm.nih.gov/entrez/query.fcgi?db=gene&amp;cmd=Retrieve&amp;list_uids=246225","246225")</f>
        <v>246225</v>
      </c>
      <c r="K309" s="6" t="str">
        <f>HYPERLINK("http://www.ncbi.nlm.nih.gov/entrez/query.fcgi?cmd=Search&amp;db=Nucleotide&amp;term=NM_152984","NM_152984")</f>
        <v>NM_152984</v>
      </c>
      <c r="L309" s="4" t="s">
        <v>71</v>
      </c>
      <c r="M309" s="4">
        <v>31783448</v>
      </c>
      <c r="N309" s="4">
        <v>31787661</v>
      </c>
      <c r="O309" s="4" t="s">
        <v>19</v>
      </c>
      <c r="P309" s="3" t="s">
        <v>151</v>
      </c>
      <c r="Q309" s="3" t="s">
        <v>152</v>
      </c>
      <c r="R309" s="3" t="s">
        <v>61</v>
      </c>
      <c r="S309" s="3" t="s">
        <v>62</v>
      </c>
      <c r="T309" s="3" t="s">
        <v>191</v>
      </c>
      <c r="U309" s="3" t="s">
        <v>192</v>
      </c>
      <c r="V309" s="4"/>
    </row>
    <row r="310" spans="1:22" customFormat="1" x14ac:dyDescent="0.15">
      <c r="A310" s="3" t="s">
        <v>1306</v>
      </c>
      <c r="B310" s="3" t="s">
        <v>1307</v>
      </c>
      <c r="C310" s="3" t="s">
        <v>1305</v>
      </c>
      <c r="D310" s="4">
        <v>2.2490000000000001</v>
      </c>
      <c r="E310" s="4">
        <v>2.09</v>
      </c>
      <c r="F310" s="4">
        <v>2.1</v>
      </c>
      <c r="G310" s="4">
        <v>4.22</v>
      </c>
      <c r="H310" s="5">
        <f t="shared" si="4"/>
        <v>2.0095238095238095</v>
      </c>
      <c r="I310" s="6" t="str">
        <f>HYPERLINK("http://genome.ucsc.edu/cgi-bin/hgTracks?clade=vertebrate&amp;org=Zebrafish&amp;db=danRer7&amp;position=chr24:27169943-27180580","chr24:27169943-27180580")</f>
        <v>chr24:27169943-27180580</v>
      </c>
      <c r="J310" s="6" t="str">
        <f>HYPERLINK("http://www.ncbi.nlm.nih.gov/entrez/query.fcgi?db=gene&amp;cmd=Retrieve&amp;list_uids=100170835","100170835")</f>
        <v>100170835</v>
      </c>
      <c r="K310" s="6" t="str">
        <f>HYPERLINK("http://www.ncbi.nlm.nih.gov/entrez/query.fcgi?cmd=Search&amp;db=Nucleotide&amp;term=NM_001130669","NM_001130669")</f>
        <v>NM_001130669</v>
      </c>
      <c r="L310" s="4" t="s">
        <v>69</v>
      </c>
      <c r="M310" s="4">
        <v>27169943</v>
      </c>
      <c r="N310" s="4">
        <v>27180580</v>
      </c>
      <c r="O310" s="4" t="s">
        <v>19</v>
      </c>
      <c r="P310" s="3" t="s">
        <v>65</v>
      </c>
      <c r="Q310" s="3" t="s">
        <v>66</v>
      </c>
      <c r="R310" s="3" t="s">
        <v>61</v>
      </c>
      <c r="S310" s="3" t="s">
        <v>62</v>
      </c>
      <c r="T310" s="3" t="s">
        <v>1308</v>
      </c>
      <c r="U310" s="3" t="s">
        <v>1309</v>
      </c>
      <c r="V310" s="4"/>
    </row>
    <row r="311" spans="1:22" customFormat="1" x14ac:dyDescent="0.15">
      <c r="A311" s="3" t="s">
        <v>1370</v>
      </c>
      <c r="B311" s="3" t="s">
        <v>1371</v>
      </c>
      <c r="C311" s="3" t="s">
        <v>1369</v>
      </c>
      <c r="D311" s="4">
        <v>8.5679999999999996</v>
      </c>
      <c r="E311" s="4">
        <v>22.88</v>
      </c>
      <c r="F311" s="4">
        <v>19.82</v>
      </c>
      <c r="G311" s="4">
        <v>39.64</v>
      </c>
      <c r="H311" s="5">
        <f t="shared" si="4"/>
        <v>2</v>
      </c>
      <c r="I311" s="6" t="str">
        <f>HYPERLINK("http://genome.ucsc.edu/cgi-bin/hgTracks?clade=vertebrate&amp;org=Zebrafish&amp;db=danRer7&amp;position=chr9:2590373-2592902","chr9:2590373-2592902")</f>
        <v>chr9:2590373-2592902</v>
      </c>
      <c r="J311" s="6" t="str">
        <f>HYPERLINK("http://www.ncbi.nlm.nih.gov/entrez/query.fcgi?db=gene&amp;cmd=Retrieve&amp;list_uids=405896","405896")</f>
        <v>405896</v>
      </c>
      <c r="K311" s="6" t="str">
        <f>HYPERLINK("http://www.ncbi.nlm.nih.gov/entrez/query.fcgi?cmd=Search&amp;db=Nucleotide&amp;term=NM_212960","NM_212960")</f>
        <v>NM_212960</v>
      </c>
      <c r="L311" s="4" t="s">
        <v>22</v>
      </c>
      <c r="M311" s="4">
        <v>2590373</v>
      </c>
      <c r="N311" s="4">
        <v>2592902</v>
      </c>
      <c r="O311" s="4" t="s">
        <v>19</v>
      </c>
      <c r="P311" s="3" t="s">
        <v>1367</v>
      </c>
      <c r="Q311" s="3" t="s">
        <v>1368</v>
      </c>
      <c r="R311" s="3" t="s">
        <v>173</v>
      </c>
      <c r="S311" s="3" t="s">
        <v>174</v>
      </c>
      <c r="T311" s="3" t="s">
        <v>155</v>
      </c>
      <c r="U311" s="3" t="s">
        <v>156</v>
      </c>
      <c r="V311" s="4"/>
    </row>
    <row r="312" spans="1:22" customFormat="1" x14ac:dyDescent="0.15">
      <c r="A312" s="13" t="s">
        <v>1165</v>
      </c>
      <c r="B312" s="13" t="s">
        <v>1166</v>
      </c>
      <c r="C312" s="13" t="s">
        <v>1164</v>
      </c>
      <c r="D312" s="14">
        <v>2.1429999999999998</v>
      </c>
      <c r="E312" s="14">
        <v>1.73</v>
      </c>
      <c r="F312" s="14">
        <v>2.02</v>
      </c>
      <c r="G312" s="14">
        <v>4.04</v>
      </c>
      <c r="H312" s="15">
        <f t="shared" si="4"/>
        <v>2</v>
      </c>
      <c r="I312" s="16" t="str">
        <f>HYPERLINK("http://genome.ucsc.edu/cgi-bin/hgTracks?clade=vertebrate&amp;org=Zebrafish&amp;db=danRer7&amp;position=chr12:10011659-10049021","chr12:10011659-10049021")</f>
        <v>chr12:10011659-10049021</v>
      </c>
      <c r="J312" s="16" t="str">
        <f>HYPERLINK("http://www.ncbi.nlm.nih.gov/entrez/query.fcgi?db=gene&amp;cmd=Retrieve&amp;list_uids=30651","30651")</f>
        <v>30651</v>
      </c>
      <c r="K312" s="16" t="str">
        <f>HYPERLINK("http://www.ncbi.nlm.nih.gov/entrez/query.fcgi?cmd=Search&amp;db=Nucleotide&amp;term=NM_131378","NM_131378")</f>
        <v>NM_131378</v>
      </c>
      <c r="L312" s="14" t="s">
        <v>57</v>
      </c>
      <c r="M312" s="14">
        <v>10011659</v>
      </c>
      <c r="N312" s="14">
        <v>10049021</v>
      </c>
      <c r="O312" s="14" t="s">
        <v>19</v>
      </c>
      <c r="P312" s="13" t="s">
        <v>665</v>
      </c>
      <c r="Q312" s="13" t="s">
        <v>666</v>
      </c>
      <c r="R312" s="13" t="s">
        <v>101</v>
      </c>
      <c r="S312" s="13" t="s">
        <v>102</v>
      </c>
      <c r="T312" s="13" t="s">
        <v>1162</v>
      </c>
      <c r="U312" s="13" t="s">
        <v>1163</v>
      </c>
      <c r="V312" s="14"/>
    </row>
  </sheetData>
  <sortState ref="A2:K23953">
    <sortCondition descending="1" ref="H1"/>
  </sortState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tabSelected="1" topLeftCell="A25" zoomScale="70" zoomScaleNormal="70" workbookViewId="0">
      <selection activeCell="G86" sqref="G86"/>
    </sheetView>
  </sheetViews>
  <sheetFormatPr defaultRowHeight="13.5" x14ac:dyDescent="0.15"/>
  <cols>
    <col min="2" max="2" width="32.375" customWidth="1"/>
    <col min="4" max="7" width="7.75" customWidth="1"/>
  </cols>
  <sheetData>
    <row r="1" spans="1:22" ht="23.25" customHeight="1" x14ac:dyDescent="0.15">
      <c r="A1" s="28" t="s">
        <v>2158</v>
      </c>
      <c r="B1" s="27"/>
      <c r="C1" s="27"/>
      <c r="D1" s="27"/>
      <c r="E1" s="27"/>
      <c r="F1" s="27"/>
    </row>
    <row r="2" spans="1:22" ht="63.75" x14ac:dyDescent="0.15">
      <c r="A2" s="11" t="s">
        <v>2</v>
      </c>
      <c r="B2" s="11" t="s">
        <v>3</v>
      </c>
      <c r="C2" s="11" t="s">
        <v>0</v>
      </c>
      <c r="D2" s="12" t="s">
        <v>1</v>
      </c>
      <c r="E2" s="12" t="s">
        <v>1627</v>
      </c>
      <c r="F2" s="12" t="s">
        <v>1628</v>
      </c>
      <c r="G2" s="17" t="s">
        <v>1629</v>
      </c>
      <c r="H2" s="21" t="s">
        <v>1630</v>
      </c>
      <c r="I2" s="17" t="s">
        <v>4</v>
      </c>
      <c r="J2" s="17" t="s">
        <v>5</v>
      </c>
      <c r="K2" s="17" t="s">
        <v>6</v>
      </c>
      <c r="L2" s="17" t="s">
        <v>7</v>
      </c>
      <c r="M2" s="17" t="s">
        <v>8</v>
      </c>
      <c r="N2" s="17" t="s">
        <v>9</v>
      </c>
      <c r="O2" s="17" t="s">
        <v>10</v>
      </c>
      <c r="P2" s="19" t="s">
        <v>11</v>
      </c>
      <c r="Q2" s="19" t="s">
        <v>12</v>
      </c>
      <c r="R2" s="19" t="s">
        <v>13</v>
      </c>
      <c r="S2" s="19" t="s">
        <v>14</v>
      </c>
      <c r="T2" s="19" t="s">
        <v>15</v>
      </c>
      <c r="U2" s="19" t="s">
        <v>16</v>
      </c>
      <c r="V2" s="19" t="s">
        <v>17</v>
      </c>
    </row>
    <row r="3" spans="1:22" x14ac:dyDescent="0.15">
      <c r="A3" s="22" t="s">
        <v>1632</v>
      </c>
      <c r="B3" s="22" t="s">
        <v>1633</v>
      </c>
      <c r="C3" s="22" t="s">
        <v>1634</v>
      </c>
      <c r="D3">
        <v>4.0990000000000002</v>
      </c>
      <c r="E3">
        <v>67.81</v>
      </c>
      <c r="F3">
        <v>116.83</v>
      </c>
      <c r="G3">
        <v>5.35</v>
      </c>
      <c r="H3" s="23">
        <f t="shared" ref="H3:H66" si="0">G3/F3</f>
        <v>4.5793032611486775E-2</v>
      </c>
      <c r="I3" s="24" t="str">
        <f>HYPERLINK("http://genome.ucsc.edu/cgi-bin/hgTracks?clade=vertebrate&amp;org=Zebrafish&amp;db=danRer7&amp;position=chr24:24643811-24646731","chr24:24643811-24646731")</f>
        <v>chr24:24643811-24646731</v>
      </c>
      <c r="J3" s="24" t="str">
        <f>HYPERLINK("http://www.ncbi.nlm.nih.gov/entrez/query.fcgi?db=gene&amp;cmd=Retrieve&amp;list_uids=677744","677744")</f>
        <v>677744</v>
      </c>
      <c r="K3" s="24" t="str">
        <f>HYPERLINK("http://www.ncbi.nlm.nih.gov/entrez/query.fcgi?cmd=Search&amp;db=Nucleotide&amp;term=NM_139180","NM_139180")</f>
        <v>NM_139180</v>
      </c>
      <c r="L3" t="s">
        <v>69</v>
      </c>
      <c r="M3">
        <v>24643811</v>
      </c>
      <c r="N3">
        <v>24646731</v>
      </c>
      <c r="O3" t="s">
        <v>19</v>
      </c>
      <c r="P3" s="22" t="s">
        <v>1635</v>
      </c>
      <c r="Q3" s="22" t="s">
        <v>1636</v>
      </c>
      <c r="T3" s="22" t="s">
        <v>1637</v>
      </c>
      <c r="U3" s="22" t="s">
        <v>1638</v>
      </c>
    </row>
    <row r="4" spans="1:22" x14ac:dyDescent="0.15">
      <c r="A4" s="22" t="s">
        <v>1639</v>
      </c>
      <c r="B4" s="22" t="s">
        <v>1640</v>
      </c>
      <c r="C4" s="22" t="s">
        <v>1641</v>
      </c>
      <c r="D4">
        <v>5.0730000000000004</v>
      </c>
      <c r="E4">
        <v>52.82</v>
      </c>
      <c r="F4">
        <v>62.05</v>
      </c>
      <c r="G4">
        <v>4.4000000000000004</v>
      </c>
      <c r="H4" s="23">
        <f t="shared" si="0"/>
        <v>7.0910556003223213E-2</v>
      </c>
      <c r="I4" s="24" t="str">
        <f>HYPERLINK("http://genome.ucsc.edu/cgi-bin/hgTracks?clade=vertebrate&amp;org=Zebrafish&amp;db=danRer7&amp;position=chr8:21891958-21907046","chr8:21891958-21907046")</f>
        <v>chr8:21891958-21907046</v>
      </c>
      <c r="J4" s="24" t="str">
        <f>HYPERLINK("http://www.ncbi.nlm.nih.gov/entrez/query.fcgi?db=gene&amp;cmd=Retrieve&amp;list_uids=64607","64607")</f>
        <v>64607</v>
      </c>
      <c r="K4" s="24" t="str">
        <f>HYPERLINK("http://www.ncbi.nlm.nih.gov/entrez/query.fcgi?cmd=Search&amp;db=Nucleotide&amp;term=NM_131682","NM_131682")</f>
        <v>NM_131682</v>
      </c>
      <c r="L4" t="s">
        <v>78</v>
      </c>
      <c r="M4">
        <v>21891958</v>
      </c>
      <c r="N4">
        <v>21907046</v>
      </c>
      <c r="O4" t="s">
        <v>23</v>
      </c>
      <c r="P4" s="22" t="s">
        <v>1642</v>
      </c>
      <c r="Q4" s="22" t="s">
        <v>1643</v>
      </c>
      <c r="R4" s="22" t="s">
        <v>1644</v>
      </c>
      <c r="S4" s="22" t="s">
        <v>1645</v>
      </c>
      <c r="T4" s="22" t="s">
        <v>1646</v>
      </c>
      <c r="U4" s="22" t="s">
        <v>1647</v>
      </c>
    </row>
    <row r="5" spans="1:22" x14ac:dyDescent="0.15">
      <c r="A5" s="22" t="s">
        <v>1648</v>
      </c>
      <c r="B5" s="22" t="s">
        <v>1649</v>
      </c>
      <c r="C5" s="22" t="s">
        <v>1650</v>
      </c>
      <c r="D5">
        <v>3.282</v>
      </c>
      <c r="E5">
        <v>178.36</v>
      </c>
      <c r="F5">
        <v>162.74</v>
      </c>
      <c r="G5">
        <v>13.65</v>
      </c>
      <c r="H5" s="23">
        <f t="shared" si="0"/>
        <v>8.387612142067101E-2</v>
      </c>
      <c r="I5" s="24" t="str">
        <f>HYPERLINK("http://genome.ucsc.edu/cgi-bin/hgTracks?clade=vertebrate&amp;org=Zebrafish&amp;db=danRer7&amp;position=chr12:21702360-21703066","chr12:21702360-21703066")</f>
        <v>chr12:21702360-21703066</v>
      </c>
      <c r="J5" s="24" t="str">
        <f>HYPERLINK("http://www.ncbi.nlm.nih.gov/entrez/query.fcgi?db=gene&amp;cmd=Retrieve&amp;list_uids=405772","405772")</f>
        <v>405772</v>
      </c>
      <c r="K5" s="24" t="str">
        <f>HYPERLINK("http://www.ncbi.nlm.nih.gov/entrez/query.fcgi?cmd=Search&amp;db=Nucleotide&amp;term=NM_212846","NM_212846")</f>
        <v>NM_212846</v>
      </c>
      <c r="L5" t="s">
        <v>57</v>
      </c>
      <c r="M5">
        <v>21702360</v>
      </c>
      <c r="N5">
        <v>21703066</v>
      </c>
      <c r="O5" t="s">
        <v>19</v>
      </c>
      <c r="P5" s="22" t="s">
        <v>1651</v>
      </c>
      <c r="Q5" s="22" t="s">
        <v>1652</v>
      </c>
      <c r="R5" s="22" t="s">
        <v>1653</v>
      </c>
      <c r="S5" s="22" t="s">
        <v>1654</v>
      </c>
      <c r="T5" s="22" t="s">
        <v>1655</v>
      </c>
      <c r="U5" s="22" t="s">
        <v>1656</v>
      </c>
    </row>
    <row r="6" spans="1:22" x14ac:dyDescent="0.15">
      <c r="A6" s="22" t="s">
        <v>1657</v>
      </c>
      <c r="B6" s="22" t="s">
        <v>1658</v>
      </c>
      <c r="C6" s="22" t="s">
        <v>1659</v>
      </c>
      <c r="D6">
        <v>0.47799999999999998</v>
      </c>
      <c r="E6">
        <v>3237.38</v>
      </c>
      <c r="F6">
        <v>3125.87</v>
      </c>
      <c r="G6">
        <v>266</v>
      </c>
      <c r="H6" s="23">
        <f t="shared" si="0"/>
        <v>8.5096309187522201E-2</v>
      </c>
      <c r="I6" s="24" t="str">
        <f>HYPERLINK("http://genome.ucsc.edu/cgi-bin/hgTracks?clade=vertebrate&amp;org=Zebrafish&amp;db=danRer7&amp;position=chr3:55998282-55999403","chr3:55998282-55999403")</f>
        <v>chr3:55998282-55999403</v>
      </c>
      <c r="J6" s="24" t="str">
        <f>HYPERLINK("http://www.ncbi.nlm.nih.gov/entrez/query.fcgi?db=gene&amp;cmd=Retrieve&amp;list_uids=30601","30601")</f>
        <v>30601</v>
      </c>
      <c r="K6" s="24" t="str">
        <f>HYPERLINK("http://www.ncbi.nlm.nih.gov/entrez/query.fcgi?cmd=Search&amp;db=Nucleotide&amp;term=NM_183066","NM_183066")</f>
        <v>NM_183066</v>
      </c>
      <c r="L6" t="s">
        <v>47</v>
      </c>
      <c r="M6">
        <v>55998282</v>
      </c>
      <c r="N6">
        <v>55999403</v>
      </c>
      <c r="O6" t="s">
        <v>19</v>
      </c>
      <c r="P6" s="22" t="s">
        <v>1651</v>
      </c>
      <c r="Q6" s="22" t="s">
        <v>1652</v>
      </c>
      <c r="R6" s="22" t="s">
        <v>1653</v>
      </c>
      <c r="S6" s="22" t="s">
        <v>1654</v>
      </c>
      <c r="T6" s="22" t="s">
        <v>1655</v>
      </c>
      <c r="U6" s="22" t="s">
        <v>1656</v>
      </c>
    </row>
    <row r="7" spans="1:22" x14ac:dyDescent="0.15">
      <c r="A7" s="22" t="s">
        <v>1660</v>
      </c>
      <c r="B7" s="22" t="s">
        <v>1661</v>
      </c>
      <c r="C7" s="22" t="s">
        <v>1662</v>
      </c>
      <c r="D7">
        <v>0.44400000000000001</v>
      </c>
      <c r="E7">
        <v>1957.86</v>
      </c>
      <c r="F7">
        <v>2304.5300000000002</v>
      </c>
      <c r="G7">
        <v>196.83</v>
      </c>
      <c r="H7" s="23">
        <f t="shared" si="0"/>
        <v>8.5410040225121817E-2</v>
      </c>
      <c r="I7" s="24" t="str">
        <f>HYPERLINK("http://genome.ucsc.edu/cgi-bin/hgTracks?clade=vertebrate&amp;org=Zebrafish&amp;db=danRer7&amp;position=chr3:55965826-55966464","chr3:55965826-55966464")</f>
        <v>chr3:55965826-55966464</v>
      </c>
      <c r="J7" s="24" t="str">
        <f>HYPERLINK("http://www.ncbi.nlm.nih.gov/entrez/query.fcgi?db=gene&amp;cmd=Retrieve&amp;list_uids=81538","81538")</f>
        <v>81538</v>
      </c>
      <c r="K7" s="24" t="str">
        <f>HYPERLINK("http://www.ncbi.nlm.nih.gov/entrez/query.fcgi?cmd=Search&amp;db=Nucleotide&amp;term=NM_198073","NM_198073")</f>
        <v>NM_198073</v>
      </c>
      <c r="L7" t="s">
        <v>47</v>
      </c>
      <c r="M7">
        <v>55965826</v>
      </c>
      <c r="N7">
        <v>55966464</v>
      </c>
      <c r="O7" t="s">
        <v>23</v>
      </c>
      <c r="P7" s="22" t="s">
        <v>1651</v>
      </c>
      <c r="Q7" s="22" t="s">
        <v>1652</v>
      </c>
      <c r="R7" s="22" t="s">
        <v>1653</v>
      </c>
      <c r="S7" s="22" t="s">
        <v>1654</v>
      </c>
      <c r="T7" s="22" t="s">
        <v>1655</v>
      </c>
      <c r="U7" s="22" t="s">
        <v>1656</v>
      </c>
    </row>
    <row r="8" spans="1:22" x14ac:dyDescent="0.15">
      <c r="A8" s="22" t="s">
        <v>1663</v>
      </c>
      <c r="B8" s="22" t="s">
        <v>1663</v>
      </c>
      <c r="C8" s="22" t="s">
        <v>1664</v>
      </c>
      <c r="D8">
        <v>0.58199999999999996</v>
      </c>
      <c r="E8">
        <v>2035.38</v>
      </c>
      <c r="F8">
        <v>1687.93</v>
      </c>
      <c r="G8">
        <v>151.63999999999999</v>
      </c>
      <c r="H8" s="23">
        <f t="shared" si="0"/>
        <v>8.9837848725954267E-2</v>
      </c>
      <c r="I8" s="24" t="str">
        <f>HYPERLINK("http://genome.ucsc.edu/cgi-bin/hgTracks?clade=vertebrate&amp;org=Zebrafish&amp;db=danRer7&amp;position=chr3:55965769-55983724","chr3:55965769-55983724")</f>
        <v>chr3:55965769-55983724</v>
      </c>
      <c r="J8" s="24" t="str">
        <f>HYPERLINK("http://www.ncbi.nlm.nih.gov/entrez/query.fcgi?db=gene&amp;cmd=Retrieve&amp;list_uids=335781","335781")</f>
        <v>335781</v>
      </c>
      <c r="K8" s="24" t="str">
        <f>HYPERLINK("http://www.ncbi.nlm.nih.gov/entrez/query.fcgi?cmd=Search&amp;db=Nucleotide&amp;term=NM_001080093","NM_001080093")</f>
        <v>NM_001080093</v>
      </c>
      <c r="L8" t="s">
        <v>47</v>
      </c>
      <c r="M8">
        <v>55965769</v>
      </c>
      <c r="N8">
        <v>55983724</v>
      </c>
      <c r="O8" t="s">
        <v>23</v>
      </c>
    </row>
    <row r="9" spans="1:22" x14ac:dyDescent="0.15">
      <c r="C9" s="22" t="s">
        <v>1665</v>
      </c>
      <c r="D9">
        <v>0.214</v>
      </c>
      <c r="E9">
        <v>171.69</v>
      </c>
      <c r="F9">
        <v>203.57</v>
      </c>
      <c r="G9">
        <v>18.96</v>
      </c>
      <c r="H9" s="23">
        <f t="shared" si="0"/>
        <v>9.3137495701724235E-2</v>
      </c>
      <c r="I9" s="24" t="str">
        <f>HYPERLINK("http://genome.ucsc.edu/cgi-bin/hgTracks?clade=vertebrate&amp;org=Zebrafish&amp;db=danRer7&amp;position=chr1:57151717-57151931","chr1:57151717-57151931")</f>
        <v>chr1:57151717-57151931</v>
      </c>
      <c r="J9" s="24"/>
      <c r="K9" s="24"/>
      <c r="L9" t="s">
        <v>63</v>
      </c>
      <c r="M9">
        <v>57151717</v>
      </c>
      <c r="N9">
        <v>57151931</v>
      </c>
      <c r="O9" t="s">
        <v>1666</v>
      </c>
    </row>
    <row r="10" spans="1:22" x14ac:dyDescent="0.15">
      <c r="A10" s="22" t="s">
        <v>1667</v>
      </c>
      <c r="B10" s="22" t="s">
        <v>1668</v>
      </c>
      <c r="C10" s="22" t="s">
        <v>1669</v>
      </c>
      <c r="D10">
        <v>0.53600000000000003</v>
      </c>
      <c r="E10">
        <v>3896.2</v>
      </c>
      <c r="F10">
        <v>3076.33</v>
      </c>
      <c r="G10">
        <v>350.87</v>
      </c>
      <c r="H10" s="23">
        <f t="shared" si="0"/>
        <v>0.11405473404998814</v>
      </c>
      <c r="I10" s="24" t="str">
        <f>HYPERLINK("http://genome.ucsc.edu/cgi-bin/hgTracks?clade=vertebrate&amp;org=Zebrafish&amp;db=danRer7&amp;position=chr3:55972040-55972738","chr3:55972040-55972738")</f>
        <v>chr3:55972040-55972738</v>
      </c>
      <c r="J10" s="24" t="str">
        <f>HYPERLINK("http://www.ncbi.nlm.nih.gov/entrez/query.fcgi?db=gene&amp;cmd=Retrieve&amp;list_uids=30597","30597")</f>
        <v>30597</v>
      </c>
      <c r="K10" s="24" t="str">
        <f>HYPERLINK("http://www.ncbi.nlm.nih.gov/entrez/query.fcgi?cmd=Search&amp;db=Nucleotide&amp;term=NM_182940","NM_182940")</f>
        <v>NM_182940</v>
      </c>
      <c r="L10" t="s">
        <v>47</v>
      </c>
      <c r="M10">
        <v>55972040</v>
      </c>
      <c r="N10">
        <v>55972738</v>
      </c>
      <c r="O10" t="s">
        <v>19</v>
      </c>
      <c r="P10" s="22" t="s">
        <v>1651</v>
      </c>
      <c r="Q10" s="22" t="s">
        <v>1652</v>
      </c>
      <c r="R10" s="22" t="s">
        <v>1653</v>
      </c>
      <c r="S10" s="22" t="s">
        <v>1654</v>
      </c>
      <c r="T10" s="22" t="s">
        <v>1655</v>
      </c>
      <c r="U10" s="22" t="s">
        <v>1656</v>
      </c>
    </row>
    <row r="11" spans="1:22" x14ac:dyDescent="0.15">
      <c r="A11" s="22" t="s">
        <v>1670</v>
      </c>
      <c r="B11" s="22" t="s">
        <v>1671</v>
      </c>
      <c r="C11" s="22" t="s">
        <v>1672</v>
      </c>
      <c r="D11">
        <v>0.58299999999999996</v>
      </c>
      <c r="E11">
        <v>1014.8</v>
      </c>
      <c r="F11">
        <v>747.4</v>
      </c>
      <c r="G11">
        <v>86.91</v>
      </c>
      <c r="H11" s="23">
        <f t="shared" si="0"/>
        <v>0.11628311479796628</v>
      </c>
      <c r="I11" s="24" t="str">
        <f>HYPERLINK("http://genome.ucsc.edu/cgi-bin/hgTracks?clade=vertebrate&amp;org=Zebrafish&amp;db=danRer7&amp;position=chr3:55974334-55975111","chr3:55974334-55975111")</f>
        <v>chr3:55974334-55975111</v>
      </c>
      <c r="J11" s="24" t="str">
        <f>HYPERLINK("http://www.ncbi.nlm.nih.gov/entrez/query.fcgi?db=gene&amp;cmd=Retrieve&amp;list_uids=793447","793447")</f>
        <v>793447</v>
      </c>
      <c r="K11" s="24" t="str">
        <f>HYPERLINK("http://www.ncbi.nlm.nih.gov/entrez/query.fcgi?cmd=Search&amp;db=Nucleotide&amp;term=NM_001103130","NM_001103130")</f>
        <v>NM_001103130</v>
      </c>
      <c r="L11" t="s">
        <v>47</v>
      </c>
      <c r="M11">
        <v>55974334</v>
      </c>
      <c r="N11">
        <v>55975111</v>
      </c>
      <c r="O11" t="s">
        <v>23</v>
      </c>
    </row>
    <row r="12" spans="1:22" x14ac:dyDescent="0.15">
      <c r="A12" s="22" t="s">
        <v>1673</v>
      </c>
      <c r="B12" s="22" t="s">
        <v>1674</v>
      </c>
      <c r="C12" s="22" t="s">
        <v>1675</v>
      </c>
      <c r="D12">
        <v>3.4540000000000002</v>
      </c>
      <c r="E12">
        <v>61.51</v>
      </c>
      <c r="F12">
        <v>43.88</v>
      </c>
      <c r="G12">
        <v>5.63</v>
      </c>
      <c r="H12" s="23">
        <f t="shared" si="0"/>
        <v>0.12830446672743845</v>
      </c>
      <c r="I12" s="24" t="str">
        <f>HYPERLINK("http://genome.ucsc.edu/cgi-bin/hgTracks?clade=vertebrate&amp;org=Zebrafish&amp;db=danRer7&amp;position=chr3:19955146-19981240","chr3:19955146-19981240")</f>
        <v>chr3:19955146-19981240</v>
      </c>
      <c r="J12" s="24" t="str">
        <f>HYPERLINK("http://www.ncbi.nlm.nih.gov/entrez/query.fcgi?db=gene&amp;cmd=Retrieve&amp;list_uids=84703","84703")</f>
        <v>84703</v>
      </c>
      <c r="K12" s="24" t="str">
        <f>HYPERLINK("http://www.ncbi.nlm.nih.gov/entrez/query.fcgi?cmd=Search&amp;db=Nucleotide&amp;term=NM_198338","NM_198338")</f>
        <v>NM_198338</v>
      </c>
      <c r="L12" t="s">
        <v>47</v>
      </c>
      <c r="M12">
        <v>19955146</v>
      </c>
      <c r="N12">
        <v>19981240</v>
      </c>
      <c r="O12" t="s">
        <v>19</v>
      </c>
      <c r="P12" s="22" t="s">
        <v>1676</v>
      </c>
      <c r="Q12" s="22" t="s">
        <v>1677</v>
      </c>
      <c r="R12" s="22" t="s">
        <v>75</v>
      </c>
      <c r="S12" s="22" t="s">
        <v>76</v>
      </c>
      <c r="T12" s="22" t="s">
        <v>1678</v>
      </c>
      <c r="U12" s="22" t="s">
        <v>1679</v>
      </c>
    </row>
    <row r="13" spans="1:22" x14ac:dyDescent="0.15">
      <c r="A13" s="22" t="s">
        <v>1680</v>
      </c>
      <c r="B13" s="22" t="s">
        <v>1681</v>
      </c>
      <c r="C13" s="22" t="s">
        <v>1682</v>
      </c>
      <c r="D13">
        <v>2.8010000000000002</v>
      </c>
      <c r="E13">
        <v>72.62</v>
      </c>
      <c r="F13">
        <v>73.73</v>
      </c>
      <c r="G13">
        <v>11.08</v>
      </c>
      <c r="H13" s="23">
        <f t="shared" si="0"/>
        <v>0.1502780415027804</v>
      </c>
      <c r="I13" s="24" t="str">
        <f>HYPERLINK("http://genome.ucsc.edu/cgi-bin/hgTracks?clade=vertebrate&amp;org=Zebrafish&amp;db=danRer7&amp;position=chr2:29192216-29199937","chr2:29192216-29199937")</f>
        <v>chr2:29192216-29199937</v>
      </c>
      <c r="J13" s="24" t="str">
        <f>HYPERLINK("http://www.ncbi.nlm.nih.gov/entrez/query.fcgi?db=gene&amp;cmd=Retrieve&amp;list_uids=30331","30331")</f>
        <v>30331</v>
      </c>
      <c r="K13" s="24" t="str">
        <f>HYPERLINK("http://www.ncbi.nlm.nih.gov/entrez/query.fcgi?cmd=Search&amp;db=Nucleotide&amp;term=NM_131110","NM_131110")</f>
        <v>NM_131110</v>
      </c>
      <c r="L13" t="s">
        <v>79</v>
      </c>
      <c r="M13">
        <v>29192216</v>
      </c>
      <c r="N13">
        <v>29199937</v>
      </c>
      <c r="O13" t="s">
        <v>19</v>
      </c>
      <c r="P13" s="22" t="s">
        <v>1683</v>
      </c>
      <c r="Q13" s="22" t="s">
        <v>1684</v>
      </c>
      <c r="T13" s="22" t="s">
        <v>1685</v>
      </c>
      <c r="U13" s="22" t="s">
        <v>1686</v>
      </c>
    </row>
    <row r="14" spans="1:22" x14ac:dyDescent="0.15">
      <c r="C14" s="22" t="s">
        <v>1687</v>
      </c>
      <c r="D14">
        <v>3.99</v>
      </c>
      <c r="E14">
        <v>7.35</v>
      </c>
      <c r="F14">
        <v>32.61</v>
      </c>
      <c r="G14">
        <v>5.68</v>
      </c>
      <c r="H14" s="23">
        <f t="shared" si="0"/>
        <v>0.1741796994786875</v>
      </c>
      <c r="I14" s="24" t="str">
        <f>HYPERLINK("http://genome.ucsc.edu/cgi-bin/hgTracks?clade=vertebrate&amp;org=Zebrafish&amp;db=danRer7&amp;position=chr6:46784135-46803249","chr6:46784135-46803249")</f>
        <v>chr6:46784135-46803249</v>
      </c>
      <c r="J14" s="24"/>
      <c r="K14" s="24"/>
      <c r="L14" t="s">
        <v>46</v>
      </c>
      <c r="M14">
        <v>46784135</v>
      </c>
      <c r="N14">
        <v>46803249</v>
      </c>
      <c r="O14" t="s">
        <v>1666</v>
      </c>
    </row>
    <row r="15" spans="1:22" x14ac:dyDescent="0.15">
      <c r="A15" s="22" t="s">
        <v>1688</v>
      </c>
      <c r="B15" s="22" t="s">
        <v>1689</v>
      </c>
      <c r="C15" s="22" t="s">
        <v>1690</v>
      </c>
      <c r="D15">
        <v>1.796</v>
      </c>
      <c r="E15">
        <v>138.18</v>
      </c>
      <c r="F15">
        <v>119.16</v>
      </c>
      <c r="G15">
        <v>22.5</v>
      </c>
      <c r="H15" s="23">
        <f t="shared" si="0"/>
        <v>0.18882175226586104</v>
      </c>
      <c r="I15" s="24" t="str">
        <f>HYPERLINK("http://genome.ucsc.edu/cgi-bin/hgTracks?clade=vertebrate&amp;org=Zebrafish&amp;db=danRer7&amp;position=chr1:58737281-58751091","chr1:58737281-58751091")</f>
        <v>chr1:58737281-58751091</v>
      </c>
      <c r="J15" s="24" t="str">
        <f>HYPERLINK("http://www.ncbi.nlm.nih.gov/entrez/query.fcgi?db=gene&amp;cmd=Retrieve&amp;list_uids=259303","259303")</f>
        <v>259303</v>
      </c>
      <c r="K15" s="24" t="str">
        <f>HYPERLINK("http://www.ncbi.nlm.nih.gov/entrez/query.fcgi?cmd=Search&amp;db=Nucleotide&amp;term=NM_152884","NM_152884")</f>
        <v>NM_152884</v>
      </c>
      <c r="L15" t="s">
        <v>63</v>
      </c>
      <c r="M15">
        <v>58737281</v>
      </c>
      <c r="N15">
        <v>58751091</v>
      </c>
      <c r="O15" t="s">
        <v>19</v>
      </c>
      <c r="P15" s="22" t="s">
        <v>1691</v>
      </c>
      <c r="Q15" s="22" t="s">
        <v>1692</v>
      </c>
      <c r="T15" s="22" t="s">
        <v>330</v>
      </c>
      <c r="U15" s="22" t="s">
        <v>331</v>
      </c>
    </row>
    <row r="16" spans="1:22" x14ac:dyDescent="0.15">
      <c r="A16" s="22" t="s">
        <v>1693</v>
      </c>
      <c r="B16" s="22" t="s">
        <v>1694</v>
      </c>
      <c r="C16" s="22" t="s">
        <v>1695</v>
      </c>
      <c r="D16">
        <v>2.226</v>
      </c>
      <c r="E16">
        <v>225.85</v>
      </c>
      <c r="F16">
        <v>371.99</v>
      </c>
      <c r="G16">
        <v>70.739999999999995</v>
      </c>
      <c r="H16" s="23">
        <f t="shared" si="0"/>
        <v>0.19016640232264306</v>
      </c>
      <c r="I16" s="24" t="str">
        <f>HYPERLINK("http://genome.ucsc.edu/cgi-bin/hgTracks?clade=vertebrate&amp;org=Zebrafish&amp;db=danRer7&amp;position=chr3:29090878-29097869","chr3:29090878-29097869")</f>
        <v>chr3:29090878-29097869</v>
      </c>
      <c r="J16" s="24" t="str">
        <f>HYPERLINK("http://www.ncbi.nlm.nih.gov/entrez/query.fcgi?db=gene&amp;cmd=Retrieve&amp;list_uids=326706","326706")</f>
        <v>326706</v>
      </c>
      <c r="K16" s="24" t="str">
        <f>HYPERLINK("http://www.ncbi.nlm.nih.gov/entrez/query.fcgi?cmd=Search&amp;db=Nucleotide&amp;term=NM_001005958","NM_001005958")</f>
        <v>NM_001005958</v>
      </c>
      <c r="L16" t="s">
        <v>47</v>
      </c>
      <c r="M16">
        <v>29090878</v>
      </c>
      <c r="N16">
        <v>29097869</v>
      </c>
      <c r="O16" t="s">
        <v>23</v>
      </c>
      <c r="P16" s="22" t="s">
        <v>65</v>
      </c>
      <c r="Q16" s="22" t="s">
        <v>66</v>
      </c>
      <c r="R16" s="22" t="s">
        <v>67</v>
      </c>
      <c r="S16" s="22" t="s">
        <v>68</v>
      </c>
      <c r="T16" s="22" t="s">
        <v>1696</v>
      </c>
      <c r="U16" s="22" t="s">
        <v>1697</v>
      </c>
    </row>
    <row r="17" spans="1:21" x14ac:dyDescent="0.15">
      <c r="A17" s="22" t="s">
        <v>1698</v>
      </c>
      <c r="B17" s="22" t="s">
        <v>1699</v>
      </c>
      <c r="C17" s="22" t="s">
        <v>1700</v>
      </c>
      <c r="D17">
        <v>5.1879999999999997</v>
      </c>
      <c r="E17">
        <v>125.61</v>
      </c>
      <c r="F17">
        <v>143.03</v>
      </c>
      <c r="G17">
        <v>30.03</v>
      </c>
      <c r="H17" s="23">
        <f t="shared" si="0"/>
        <v>0.20995595329651123</v>
      </c>
      <c r="I17" s="24" t="str">
        <f>HYPERLINK("http://genome.ucsc.edu/cgi-bin/hgTracks?clade=vertebrate&amp;org=Zebrafish&amp;db=danRer7&amp;position=chr24:33852209-33870072","chr24:33852209-33870072")</f>
        <v>chr24:33852209-33870072</v>
      </c>
      <c r="J17" s="24" t="str">
        <f>HYPERLINK("http://www.ncbi.nlm.nih.gov/entrez/query.fcgi?db=gene&amp;cmd=Retrieve&amp;list_uids=387526","387526")</f>
        <v>387526</v>
      </c>
      <c r="K17" s="24" t="str">
        <f>HYPERLINK("http://www.ncbi.nlm.nih.gov/entrez/query.fcgi?cmd=Search&amp;db=Nucleotide&amp;term=NM_199215","NM_199215")</f>
        <v>NM_199215</v>
      </c>
      <c r="L17" t="s">
        <v>69</v>
      </c>
      <c r="M17">
        <v>33852209</v>
      </c>
      <c r="N17">
        <v>33870072</v>
      </c>
      <c r="O17" t="s">
        <v>19</v>
      </c>
      <c r="P17" s="22" t="s">
        <v>1701</v>
      </c>
      <c r="Q17" s="22" t="s">
        <v>1702</v>
      </c>
      <c r="T17" s="22" t="s">
        <v>1703</v>
      </c>
      <c r="U17" s="22" t="s">
        <v>1704</v>
      </c>
    </row>
    <row r="18" spans="1:21" x14ac:dyDescent="0.15">
      <c r="A18" s="22" t="s">
        <v>1705</v>
      </c>
      <c r="B18" s="22" t="s">
        <v>1706</v>
      </c>
      <c r="C18" s="22" t="s">
        <v>1707</v>
      </c>
      <c r="D18">
        <v>1.7350000000000001</v>
      </c>
      <c r="E18">
        <v>33.770000000000003</v>
      </c>
      <c r="F18">
        <v>28.78</v>
      </c>
      <c r="G18">
        <v>6.35</v>
      </c>
      <c r="H18" s="23">
        <f t="shared" si="0"/>
        <v>0.22063933287004861</v>
      </c>
      <c r="I18" s="24" t="str">
        <f>HYPERLINK("http://genome.ucsc.edu/cgi-bin/hgTracks?clade=vertebrate&amp;org=Zebrafish&amp;db=danRer7&amp;position=chr6:22605878-22636510","chr6:22605878-22636510")</f>
        <v>chr6:22605878-22636510</v>
      </c>
      <c r="J18" s="24" t="str">
        <f>HYPERLINK("http://www.ncbi.nlm.nih.gov/entrez/query.fcgi?db=gene&amp;cmd=Retrieve&amp;list_uids=794176","794176")</f>
        <v>794176</v>
      </c>
      <c r="K18" s="24" t="str">
        <f>HYPERLINK("http://www.ncbi.nlm.nih.gov/entrez/query.fcgi?cmd=Search&amp;db=Nucleotide&amp;term=NM_131458","NM_131458")</f>
        <v>NM_131458</v>
      </c>
      <c r="L18" t="s">
        <v>46</v>
      </c>
      <c r="M18">
        <v>22605878</v>
      </c>
      <c r="N18">
        <v>22636510</v>
      </c>
      <c r="O18" t="s">
        <v>19</v>
      </c>
      <c r="P18" s="22" t="s">
        <v>1708</v>
      </c>
      <c r="Q18" s="22" t="s">
        <v>1709</v>
      </c>
      <c r="R18" s="22" t="s">
        <v>159</v>
      </c>
      <c r="S18" s="22" t="s">
        <v>160</v>
      </c>
      <c r="T18" s="22" t="s">
        <v>1710</v>
      </c>
      <c r="U18" s="22" t="s">
        <v>1711</v>
      </c>
    </row>
    <row r="19" spans="1:21" x14ac:dyDescent="0.15">
      <c r="A19" s="22" t="s">
        <v>1712</v>
      </c>
      <c r="B19" s="22" t="s">
        <v>1713</v>
      </c>
      <c r="C19" s="22" t="s">
        <v>1714</v>
      </c>
      <c r="D19">
        <v>1.667</v>
      </c>
      <c r="E19">
        <v>187.68</v>
      </c>
      <c r="F19">
        <v>250.21</v>
      </c>
      <c r="G19">
        <v>57.91</v>
      </c>
      <c r="H19" s="23">
        <f t="shared" si="0"/>
        <v>0.23144558570800525</v>
      </c>
      <c r="I19" s="24" t="str">
        <f>HYPERLINK("http://genome.ucsc.edu/cgi-bin/hgTracks?clade=vertebrate&amp;org=Zebrafish&amp;db=danRer7&amp;position=chr12:17512224-17517853","chr12:17512224-17517853")</f>
        <v>chr12:17512224-17517853</v>
      </c>
      <c r="J19" s="24" t="str">
        <f>HYPERLINK("http://www.ncbi.nlm.nih.gov/entrez/query.fcgi?db=gene&amp;cmd=Retrieve&amp;list_uids=564159","564159")</f>
        <v>564159</v>
      </c>
      <c r="K19" s="24" t="str">
        <f>HYPERLINK("http://www.ncbi.nlm.nih.gov/entrez/query.fcgi?cmd=Search&amp;db=Nucleotide&amp;term=NM_001102388","NM_001102388")</f>
        <v>NM_001102388</v>
      </c>
      <c r="L19" t="s">
        <v>57</v>
      </c>
      <c r="M19">
        <v>17512224</v>
      </c>
      <c r="N19">
        <v>17517853</v>
      </c>
      <c r="O19" t="s">
        <v>23</v>
      </c>
      <c r="P19" s="22" t="s">
        <v>65</v>
      </c>
      <c r="Q19" s="22" t="s">
        <v>66</v>
      </c>
      <c r="R19" s="22" t="s">
        <v>67</v>
      </c>
      <c r="S19" s="22" t="s">
        <v>68</v>
      </c>
      <c r="T19" s="22" t="s">
        <v>24</v>
      </c>
      <c r="U19" s="22" t="s">
        <v>25</v>
      </c>
    </row>
    <row r="20" spans="1:21" x14ac:dyDescent="0.15">
      <c r="A20" s="22" t="s">
        <v>1715</v>
      </c>
      <c r="B20" s="22" t="s">
        <v>1716</v>
      </c>
      <c r="C20" s="22" t="s">
        <v>1717</v>
      </c>
      <c r="D20">
        <v>2.5760000000000001</v>
      </c>
      <c r="E20">
        <v>19.760000000000002</v>
      </c>
      <c r="F20">
        <v>23.44</v>
      </c>
      <c r="G20">
        <v>5.52</v>
      </c>
      <c r="H20" s="23">
        <f t="shared" si="0"/>
        <v>0.23549488054607506</v>
      </c>
      <c r="I20" s="24" t="str">
        <f>HYPERLINK("http://genome.ucsc.edu/cgi-bin/hgTracks?clade=vertebrate&amp;org=Zebrafish&amp;db=danRer7&amp;position=chr11:6078305-6082990","chr11:6078305-6082990")</f>
        <v>chr11:6078305-6082990</v>
      </c>
      <c r="J20" s="24" t="str">
        <f>HYPERLINK("http://www.ncbi.nlm.nih.gov/entrez/query.fcgi?db=gene&amp;cmd=Retrieve&amp;list_uids=570276","570276")</f>
        <v>570276</v>
      </c>
      <c r="K20" s="24" t="str">
        <f>HYPERLINK("http://www.ncbi.nlm.nih.gov/entrez/query.fcgi?cmd=Search&amp;db=Nucleotide&amp;term=NM_001030244","NM_001030244")</f>
        <v>NM_001030244</v>
      </c>
      <c r="L20" t="s">
        <v>36</v>
      </c>
      <c r="M20">
        <v>6078305</v>
      </c>
      <c r="N20">
        <v>6082990</v>
      </c>
      <c r="O20" t="s">
        <v>19</v>
      </c>
      <c r="P20" s="22" t="s">
        <v>1718</v>
      </c>
      <c r="Q20" s="22" t="s">
        <v>1719</v>
      </c>
      <c r="R20" s="22" t="s">
        <v>67</v>
      </c>
      <c r="S20" s="22" t="s">
        <v>68</v>
      </c>
      <c r="T20" s="22" t="s">
        <v>24</v>
      </c>
      <c r="U20" s="22" t="s">
        <v>25</v>
      </c>
    </row>
    <row r="21" spans="1:21" x14ac:dyDescent="0.15">
      <c r="A21" s="22" t="s">
        <v>1720</v>
      </c>
      <c r="B21" s="22" t="s">
        <v>1721</v>
      </c>
      <c r="C21" s="22" t="s">
        <v>1722</v>
      </c>
      <c r="D21">
        <v>4.8079999999999998</v>
      </c>
      <c r="E21">
        <v>1604.98</v>
      </c>
      <c r="F21">
        <v>2548.1</v>
      </c>
      <c r="G21">
        <v>620.89</v>
      </c>
      <c r="H21" s="23">
        <f t="shared" si="0"/>
        <v>0.24366783093285194</v>
      </c>
      <c r="I21" s="24" t="str">
        <f>HYPERLINK("http://genome.ucsc.edu/cgi-bin/hgTracks?clade=vertebrate&amp;org=Zebrafish&amp;db=danRer7&amp;position=chr13:24502951-24508327","chr13:24502951-24508327")</f>
        <v>chr13:24502951-24508327</v>
      </c>
      <c r="J21" s="24" t="str">
        <f>HYPERLINK("http://www.ncbi.nlm.nih.gov/entrez/query.fcgi?db=gene&amp;cmd=Retrieve&amp;list_uids=407658","407658")</f>
        <v>407658</v>
      </c>
      <c r="K21" s="24" t="str">
        <f>HYPERLINK("http://www.ncbi.nlm.nih.gov/entrez/query.fcgi?cmd=Search&amp;db=Nucleotide&amp;term=NM_214784","NM_214784")</f>
        <v>NM_214784</v>
      </c>
      <c r="L21" t="s">
        <v>74</v>
      </c>
      <c r="M21">
        <v>24502951</v>
      </c>
      <c r="N21">
        <v>24508327</v>
      </c>
      <c r="O21" t="s">
        <v>23</v>
      </c>
      <c r="P21" s="22" t="s">
        <v>1723</v>
      </c>
      <c r="Q21" s="22" t="s">
        <v>1724</v>
      </c>
      <c r="R21" s="22" t="s">
        <v>128</v>
      </c>
      <c r="S21" s="22" t="s">
        <v>129</v>
      </c>
      <c r="T21" s="22" t="s">
        <v>130</v>
      </c>
      <c r="U21" s="22" t="s">
        <v>131</v>
      </c>
    </row>
    <row r="22" spans="1:21" x14ac:dyDescent="0.15">
      <c r="A22" s="22" t="s">
        <v>1725</v>
      </c>
      <c r="B22" s="22" t="s">
        <v>1725</v>
      </c>
      <c r="C22" s="22" t="s">
        <v>1726</v>
      </c>
      <c r="D22">
        <v>4.1989999999999998</v>
      </c>
      <c r="E22">
        <v>19.190000000000001</v>
      </c>
      <c r="F22">
        <v>44.32</v>
      </c>
      <c r="G22">
        <v>11.02</v>
      </c>
      <c r="H22" s="23">
        <f t="shared" si="0"/>
        <v>0.24864620938628157</v>
      </c>
      <c r="I22" s="24" t="str">
        <f>HYPERLINK("http://genome.ucsc.edu/cgi-bin/hgTracks?clade=vertebrate&amp;org=Zebrafish&amp;db=danRer7&amp;position=chr15:36534327-36549372","chr15:36534327-36549372")</f>
        <v>chr15:36534327-36549372</v>
      </c>
      <c r="J22" s="24" t="str">
        <f>HYPERLINK("http://www.ncbi.nlm.nih.gov/entrez/query.fcgi?db=gene&amp;cmd=Retrieve&amp;list_uids=393586","393586")</f>
        <v>393586</v>
      </c>
      <c r="K22" s="24" t="str">
        <f>HYPERLINK("http://www.ncbi.nlm.nih.gov/entrez/query.fcgi?cmd=Search&amp;db=Nucleotide&amp;term=NM_200614","NM_200614")</f>
        <v>NM_200614</v>
      </c>
      <c r="L22" t="s">
        <v>18</v>
      </c>
      <c r="M22">
        <v>36534327</v>
      </c>
      <c r="N22">
        <v>36549372</v>
      </c>
      <c r="O22" t="s">
        <v>19</v>
      </c>
      <c r="R22" s="22" t="s">
        <v>67</v>
      </c>
      <c r="S22" s="22" t="s">
        <v>68</v>
      </c>
      <c r="T22" s="22" t="s">
        <v>130</v>
      </c>
      <c r="U22" s="22" t="s">
        <v>131</v>
      </c>
    </row>
    <row r="23" spans="1:21" x14ac:dyDescent="0.15">
      <c r="A23" s="22" t="s">
        <v>1727</v>
      </c>
      <c r="B23" s="22" t="s">
        <v>1727</v>
      </c>
      <c r="C23" s="22" t="s">
        <v>1728</v>
      </c>
      <c r="D23">
        <v>1.1399999999999999</v>
      </c>
      <c r="E23">
        <v>10.5</v>
      </c>
      <c r="F23">
        <v>16.55</v>
      </c>
      <c r="G23">
        <v>4.2300000000000004</v>
      </c>
      <c r="H23" s="23">
        <f t="shared" si="0"/>
        <v>0.2555891238670695</v>
      </c>
      <c r="I23" s="24" t="str">
        <f>HYPERLINK("http://genome.ucsc.edu/cgi-bin/hgTracks?clade=vertebrate&amp;org=Zebrafish&amp;db=danRer7&amp;position=chr16:34323678-34328383","chr16:34323678-34328383")</f>
        <v>chr16:34323678-34328383</v>
      </c>
      <c r="J23" s="24" t="str">
        <f>HYPERLINK("http://www.ncbi.nlm.nih.gov/entrez/query.fcgi?db=gene&amp;cmd=Retrieve&amp;list_uids=436833","436833")</f>
        <v>436833</v>
      </c>
      <c r="K23" s="24" t="str">
        <f>HYPERLINK("http://www.ncbi.nlm.nih.gov/entrez/query.fcgi?cmd=Search&amp;db=Nucleotide&amp;term=NM_001002560","NM_001002560")</f>
        <v>NM_001002560</v>
      </c>
      <c r="L23" t="s">
        <v>71</v>
      </c>
      <c r="M23">
        <v>34323678</v>
      </c>
      <c r="N23">
        <v>34328383</v>
      </c>
      <c r="O23" t="s">
        <v>19</v>
      </c>
      <c r="T23" s="22" t="s">
        <v>1729</v>
      </c>
      <c r="U23" s="22" t="s">
        <v>1730</v>
      </c>
    </row>
    <row r="24" spans="1:21" x14ac:dyDescent="0.15">
      <c r="A24" s="22" t="s">
        <v>1731</v>
      </c>
      <c r="B24" s="22" t="s">
        <v>1732</v>
      </c>
      <c r="C24" s="22" t="s">
        <v>1733</v>
      </c>
      <c r="D24">
        <v>0.46899999999999997</v>
      </c>
      <c r="E24">
        <v>335.86</v>
      </c>
      <c r="F24">
        <v>104.15</v>
      </c>
      <c r="G24">
        <v>26.86</v>
      </c>
      <c r="H24" s="23">
        <f t="shared" si="0"/>
        <v>0.25789726356216991</v>
      </c>
      <c r="I24" s="24" t="str">
        <f>HYPERLINK("http://genome.ucsc.edu/cgi-bin/hgTracks?clade=vertebrate&amp;org=Zebrafish&amp;db=danRer7&amp;position=chr12:21691962-21693036","chr12:21691962-21693036")</f>
        <v>chr12:21691962-21693036</v>
      </c>
      <c r="J24" s="24" t="str">
        <f>HYPERLINK("http://www.ncbi.nlm.nih.gov/entrez/query.fcgi?db=gene&amp;cmd=Retrieve&amp;list_uids=30596","30596")</f>
        <v>30596</v>
      </c>
      <c r="K24" s="24" t="str">
        <f>HYPERLINK("http://www.ncbi.nlm.nih.gov/entrez/query.fcgi?cmd=Search&amp;db=Nucleotide&amp;term=NM_001015058","NM_001015058")</f>
        <v>NM_001015058</v>
      </c>
      <c r="L24" t="s">
        <v>57</v>
      </c>
      <c r="M24">
        <v>21691962</v>
      </c>
      <c r="N24">
        <v>21693036</v>
      </c>
      <c r="O24" t="s">
        <v>19</v>
      </c>
      <c r="P24" s="22" t="s">
        <v>1651</v>
      </c>
      <c r="Q24" s="22" t="s">
        <v>1652</v>
      </c>
      <c r="R24" s="22" t="s">
        <v>1653</v>
      </c>
      <c r="S24" s="22" t="s">
        <v>1654</v>
      </c>
      <c r="T24" s="22" t="s">
        <v>1655</v>
      </c>
      <c r="U24" s="22" t="s">
        <v>1656</v>
      </c>
    </row>
    <row r="25" spans="1:21" x14ac:dyDescent="0.15">
      <c r="A25" s="22" t="s">
        <v>1734</v>
      </c>
      <c r="B25" s="22" t="s">
        <v>1735</v>
      </c>
      <c r="C25" s="22" t="s">
        <v>1736</v>
      </c>
      <c r="D25">
        <v>1.353</v>
      </c>
      <c r="E25">
        <v>28.94</v>
      </c>
      <c r="F25">
        <v>19.5</v>
      </c>
      <c r="G25">
        <v>5.0599999999999996</v>
      </c>
      <c r="H25" s="23">
        <f t="shared" si="0"/>
        <v>0.25948717948717948</v>
      </c>
      <c r="I25" s="24" t="str">
        <f>HYPERLINK("http://genome.ucsc.edu/cgi-bin/hgTracks?clade=vertebrate&amp;org=Zebrafish&amp;db=danRer7&amp;position=chr23:29797483-29812719","chr23:29797483-29812719")</f>
        <v>chr23:29797483-29812719</v>
      </c>
      <c r="J25" s="24" t="str">
        <f>HYPERLINK("http://www.ncbi.nlm.nih.gov/entrez/query.fcgi?db=gene&amp;cmd=Retrieve&amp;list_uids=550322","550322")</f>
        <v>550322</v>
      </c>
      <c r="K25" s="24" t="str">
        <f>HYPERLINK("http://www.ncbi.nlm.nih.gov/entrez/query.fcgi?cmd=Search&amp;db=Nucleotide&amp;term=NM_001017629","NM_001017629")</f>
        <v>NM_001017629</v>
      </c>
      <c r="L25" t="s">
        <v>80</v>
      </c>
      <c r="M25">
        <v>29797483</v>
      </c>
      <c r="N25">
        <v>29812719</v>
      </c>
      <c r="O25" t="s">
        <v>19</v>
      </c>
      <c r="P25" s="22" t="s">
        <v>1737</v>
      </c>
      <c r="Q25" s="22" t="s">
        <v>1738</v>
      </c>
      <c r="R25" s="22" t="s">
        <v>67</v>
      </c>
      <c r="S25" s="22" t="s">
        <v>68</v>
      </c>
      <c r="T25" s="22" t="s">
        <v>1739</v>
      </c>
      <c r="U25" s="22" t="s">
        <v>1740</v>
      </c>
    </row>
    <row r="26" spans="1:21" x14ac:dyDescent="0.15">
      <c r="A26" s="22" t="s">
        <v>1741</v>
      </c>
      <c r="B26" s="22" t="s">
        <v>1742</v>
      </c>
      <c r="C26" s="22" t="s">
        <v>1743</v>
      </c>
      <c r="D26">
        <v>3.35</v>
      </c>
      <c r="E26">
        <v>22.15</v>
      </c>
      <c r="F26">
        <v>27.02</v>
      </c>
      <c r="G26">
        <v>7.06</v>
      </c>
      <c r="H26" s="23">
        <f t="shared" si="0"/>
        <v>0.2612879348630644</v>
      </c>
      <c r="I26" s="24" t="str">
        <f>HYPERLINK("http://genome.ucsc.edu/cgi-bin/hgTracks?clade=vertebrate&amp;org=Zebrafish&amp;db=danRer7&amp;position=chr20:48621738-48655083","chr20:48621738-48655083")</f>
        <v>chr20:48621738-48655083</v>
      </c>
      <c r="J26" s="24" t="str">
        <f>HYPERLINK("http://www.ncbi.nlm.nih.gov/entrez/query.fcgi?db=gene&amp;cmd=Retrieve&amp;list_uids=553401","553401")</f>
        <v>553401</v>
      </c>
      <c r="K26" s="24" t="str">
        <f>HYPERLINK("http://www.ncbi.nlm.nih.gov/entrez/query.fcgi?cmd=Search&amp;db=Nucleotide&amp;term=NM_001105276","NM_001105276")</f>
        <v>NM_001105276</v>
      </c>
      <c r="L26" t="s">
        <v>96</v>
      </c>
      <c r="M26">
        <v>48621738</v>
      </c>
      <c r="N26">
        <v>48655083</v>
      </c>
      <c r="O26" t="s">
        <v>23</v>
      </c>
      <c r="P26" s="22" t="s">
        <v>1744</v>
      </c>
      <c r="Q26" s="22" t="s">
        <v>1745</v>
      </c>
      <c r="R26" s="22" t="s">
        <v>1746</v>
      </c>
      <c r="S26" s="22" t="s">
        <v>1747</v>
      </c>
      <c r="T26" s="22" t="s">
        <v>1748</v>
      </c>
      <c r="U26" s="22" t="s">
        <v>1749</v>
      </c>
    </row>
    <row r="27" spans="1:21" x14ac:dyDescent="0.15">
      <c r="A27" s="22" t="s">
        <v>1750</v>
      </c>
      <c r="B27" s="22" t="s">
        <v>1751</v>
      </c>
      <c r="C27" s="22" t="s">
        <v>1752</v>
      </c>
      <c r="D27">
        <v>2.1230000000000002</v>
      </c>
      <c r="E27">
        <v>19.899999999999999</v>
      </c>
      <c r="F27">
        <v>29.23</v>
      </c>
      <c r="G27">
        <v>8.01</v>
      </c>
      <c r="H27" s="23">
        <f t="shared" si="0"/>
        <v>0.27403352719808416</v>
      </c>
      <c r="I27" s="24" t="str">
        <f>HYPERLINK("http://genome.ucsc.edu/cgi-bin/hgTracks?clade=vertebrate&amp;org=Zebrafish&amp;db=danRer7&amp;position=chr13:11205451-11252385","chr13:11205451-11252385")</f>
        <v>chr13:11205451-11252385</v>
      </c>
      <c r="J27" s="24" t="str">
        <f>HYPERLINK("http://www.ncbi.nlm.nih.gov/entrez/query.fcgi?db=gene&amp;cmd=Retrieve&amp;list_uids=550502","550502")</f>
        <v>550502</v>
      </c>
      <c r="K27" s="24" t="str">
        <f>HYPERLINK("http://www.ncbi.nlm.nih.gov/entrez/query.fcgi?cmd=Search&amp;db=Nucleotide&amp;term=NM_001017804","NM_001017804")</f>
        <v>NM_001017804</v>
      </c>
      <c r="L27" t="s">
        <v>74</v>
      </c>
      <c r="M27">
        <v>11205451</v>
      </c>
      <c r="N27">
        <v>11252385</v>
      </c>
      <c r="O27" t="s">
        <v>19</v>
      </c>
      <c r="P27" s="22" t="s">
        <v>1753</v>
      </c>
      <c r="Q27" s="22" t="s">
        <v>1754</v>
      </c>
      <c r="R27" s="22" t="s">
        <v>58</v>
      </c>
      <c r="S27" s="22" t="s">
        <v>59</v>
      </c>
      <c r="T27" s="22" t="s">
        <v>1755</v>
      </c>
      <c r="U27" s="22" t="s">
        <v>1756</v>
      </c>
    </row>
    <row r="28" spans="1:21" x14ac:dyDescent="0.15">
      <c r="A28" s="22" t="s">
        <v>1757</v>
      </c>
      <c r="B28" s="22" t="s">
        <v>1757</v>
      </c>
      <c r="C28" s="22" t="s">
        <v>1758</v>
      </c>
      <c r="D28">
        <v>1.5620000000000001</v>
      </c>
      <c r="E28">
        <v>29.26</v>
      </c>
      <c r="F28">
        <v>29.62</v>
      </c>
      <c r="G28">
        <v>8.52</v>
      </c>
      <c r="H28" s="23">
        <f t="shared" si="0"/>
        <v>0.28764348413234297</v>
      </c>
      <c r="I28" s="24" t="str">
        <f>HYPERLINK("http://genome.ucsc.edu/cgi-bin/hgTracks?clade=vertebrate&amp;org=Zebrafish&amp;db=danRer7&amp;position=chr24:41179010-41183537","chr24:41179010-41183537")</f>
        <v>chr24:41179010-41183537</v>
      </c>
      <c r="J28" s="24" t="str">
        <f>HYPERLINK("http://www.ncbi.nlm.nih.gov/entrez/query.fcgi?db=gene&amp;cmd=Retrieve&amp;list_uids=436968","436968")</f>
        <v>436968</v>
      </c>
      <c r="K28" s="24" t="str">
        <f>HYPERLINK("http://www.ncbi.nlm.nih.gov/entrez/query.fcgi?cmd=Search&amp;db=Nucleotide&amp;term=NM_001002695","NM_001002695")</f>
        <v>NM_001002695</v>
      </c>
      <c r="L28" t="s">
        <v>69</v>
      </c>
      <c r="M28">
        <v>41179010</v>
      </c>
      <c r="N28">
        <v>41183537</v>
      </c>
      <c r="O28" t="s">
        <v>19</v>
      </c>
      <c r="R28" s="22" t="s">
        <v>1759</v>
      </c>
      <c r="S28" s="22" t="s">
        <v>1760</v>
      </c>
      <c r="T28" s="22" t="s">
        <v>401</v>
      </c>
      <c r="U28" s="22" t="s">
        <v>402</v>
      </c>
    </row>
    <row r="29" spans="1:21" x14ac:dyDescent="0.15">
      <c r="A29" s="22" t="s">
        <v>1761</v>
      </c>
      <c r="B29" s="22" t="s">
        <v>1761</v>
      </c>
      <c r="C29" s="22" t="s">
        <v>1762</v>
      </c>
      <c r="D29">
        <v>3.8889999999999998</v>
      </c>
      <c r="E29">
        <v>19.559999999999999</v>
      </c>
      <c r="F29">
        <v>17.46</v>
      </c>
      <c r="G29">
        <v>5.1100000000000003</v>
      </c>
      <c r="H29" s="23">
        <f t="shared" si="0"/>
        <v>0.29266895761741124</v>
      </c>
      <c r="I29" s="24" t="str">
        <f>HYPERLINK("http://genome.ucsc.edu/cgi-bin/hgTracks?clade=vertebrate&amp;org=Zebrafish&amp;db=danRer7&amp;position=chr6:43381605-43406057","chr6:43381605-43406057")</f>
        <v>chr6:43381605-43406057</v>
      </c>
      <c r="J29" s="24" t="str">
        <f>HYPERLINK("http://www.ncbi.nlm.nih.gov/entrez/query.fcgi?db=gene&amp;cmd=Retrieve&amp;list_uids=541322","541322")</f>
        <v>541322</v>
      </c>
      <c r="K29" s="24" t="str">
        <f>HYPERLINK("http://www.ncbi.nlm.nih.gov/entrez/query.fcgi?cmd=Search&amp;db=Nucleotide&amp;term=NM_001013450","NM_001013450")</f>
        <v>NM_001013450</v>
      </c>
      <c r="L29" t="s">
        <v>46</v>
      </c>
      <c r="M29">
        <v>43381605</v>
      </c>
      <c r="N29">
        <v>43406057</v>
      </c>
      <c r="O29" t="s">
        <v>23</v>
      </c>
      <c r="P29" s="22" t="s">
        <v>90</v>
      </c>
      <c r="Q29" s="22" t="s">
        <v>91</v>
      </c>
      <c r="R29" s="22" t="s">
        <v>67</v>
      </c>
      <c r="S29" s="22" t="s">
        <v>68</v>
      </c>
      <c r="T29" s="22" t="s">
        <v>1763</v>
      </c>
      <c r="U29" s="22" t="s">
        <v>1764</v>
      </c>
    </row>
    <row r="30" spans="1:21" x14ac:dyDescent="0.15">
      <c r="A30" s="22" t="s">
        <v>1765</v>
      </c>
      <c r="B30" s="22" t="s">
        <v>1766</v>
      </c>
      <c r="C30" s="22" t="s">
        <v>1767</v>
      </c>
      <c r="D30">
        <v>4.9809999999999999</v>
      </c>
      <c r="E30">
        <v>40.79</v>
      </c>
      <c r="F30">
        <v>51.32</v>
      </c>
      <c r="G30">
        <v>15.06</v>
      </c>
      <c r="H30" s="23">
        <f t="shared" si="0"/>
        <v>0.29345284489477785</v>
      </c>
      <c r="I30" s="24" t="str">
        <f>HYPERLINK("http://genome.ucsc.edu/cgi-bin/hgTracks?clade=vertebrate&amp;org=Zebrafish&amp;db=danRer7&amp;position=chr2:56196037-56203406","chr2:56196037-56203406")</f>
        <v>chr2:56196037-56203406</v>
      </c>
      <c r="J30" s="24" t="str">
        <f>HYPERLINK("http://www.ncbi.nlm.nih.gov/entrez/query.fcgi?db=gene&amp;cmd=Retrieve&amp;list_uids=447879","447879")</f>
        <v>447879</v>
      </c>
      <c r="K30" s="24" t="str">
        <f>HYPERLINK("http://www.ncbi.nlm.nih.gov/entrez/query.fcgi?cmd=Search&amp;db=Nucleotide&amp;term=NM_001004618","NM_001004618")</f>
        <v>NM_001004618</v>
      </c>
      <c r="L30" t="s">
        <v>79</v>
      </c>
      <c r="M30">
        <v>56196037</v>
      </c>
      <c r="N30">
        <v>56203406</v>
      </c>
      <c r="O30" t="s">
        <v>23</v>
      </c>
      <c r="P30" s="22" t="s">
        <v>1768</v>
      </c>
      <c r="Q30" s="22" t="s">
        <v>1769</v>
      </c>
      <c r="R30" s="22" t="s">
        <v>67</v>
      </c>
      <c r="S30" s="22" t="s">
        <v>68</v>
      </c>
      <c r="T30" s="22" t="s">
        <v>24</v>
      </c>
      <c r="U30" s="22" t="s">
        <v>25</v>
      </c>
    </row>
    <row r="31" spans="1:21" x14ac:dyDescent="0.15">
      <c r="A31" s="22" t="s">
        <v>1770</v>
      </c>
      <c r="B31" s="22" t="s">
        <v>1771</v>
      </c>
      <c r="C31" s="22" t="s">
        <v>1772</v>
      </c>
      <c r="D31">
        <v>5.758</v>
      </c>
      <c r="E31">
        <v>14.35</v>
      </c>
      <c r="F31">
        <v>16.649999999999999</v>
      </c>
      <c r="G31">
        <v>5.05</v>
      </c>
      <c r="H31" s="23">
        <f t="shared" si="0"/>
        <v>0.3033033033033033</v>
      </c>
      <c r="I31" s="24" t="str">
        <f>HYPERLINK("http://genome.ucsc.edu/cgi-bin/hgTracks?clade=vertebrate&amp;org=Zebrafish&amp;db=danRer7&amp;position=chr18:20364639-20388736","chr18:20364639-20388736")</f>
        <v>chr18:20364639-20388736</v>
      </c>
      <c r="J31" s="24" t="str">
        <f>HYPERLINK("http://www.ncbi.nlm.nih.gov/entrez/query.fcgi?db=gene&amp;cmd=Retrieve&amp;list_uids=559355","559355")</f>
        <v>559355</v>
      </c>
      <c r="K31" s="24" t="str">
        <f>HYPERLINK("http://www.ncbi.nlm.nih.gov/entrez/query.fcgi?cmd=Search&amp;db=Nucleotide&amp;term=NM_001044891","NM_001044891")</f>
        <v>NM_001044891</v>
      </c>
      <c r="L31" t="s">
        <v>41</v>
      </c>
      <c r="M31">
        <v>20364639</v>
      </c>
      <c r="N31">
        <v>20388736</v>
      </c>
      <c r="O31" t="s">
        <v>19</v>
      </c>
      <c r="P31" s="22" t="s">
        <v>297</v>
      </c>
      <c r="Q31" s="22" t="s">
        <v>298</v>
      </c>
    </row>
    <row r="32" spans="1:21" x14ac:dyDescent="0.15">
      <c r="A32" s="22" t="s">
        <v>1773</v>
      </c>
      <c r="B32" s="22" t="s">
        <v>1774</v>
      </c>
      <c r="C32" s="22" t="s">
        <v>1775</v>
      </c>
      <c r="D32">
        <v>1.304</v>
      </c>
      <c r="E32">
        <v>35.61</v>
      </c>
      <c r="F32">
        <v>37.659999999999997</v>
      </c>
      <c r="G32">
        <v>11.43</v>
      </c>
      <c r="H32" s="23">
        <f t="shared" si="0"/>
        <v>0.3035050451407329</v>
      </c>
      <c r="I32" s="24" t="str">
        <f>HYPERLINK("http://genome.ucsc.edu/cgi-bin/hgTracks?clade=vertebrate&amp;org=Zebrafish&amp;db=danRer7&amp;position=chr12:21718603-21725551","chr12:21718603-21725551")</f>
        <v>chr12:21718603-21725551</v>
      </c>
      <c r="J32" s="24" t="str">
        <f>HYPERLINK("http://www.ncbi.nlm.nih.gov/entrez/query.fcgi?db=gene&amp;cmd=Retrieve&amp;list_uids=447923","447923")</f>
        <v>447923</v>
      </c>
      <c r="K32" s="24" t="str">
        <f>HYPERLINK("http://www.ncbi.nlm.nih.gov/entrez/query.fcgi?cmd=Search&amp;db=Nucleotide&amp;term=NM_001004661","NM_001004661")</f>
        <v>NM_001004661</v>
      </c>
      <c r="L32" t="s">
        <v>57</v>
      </c>
      <c r="M32">
        <v>21718603</v>
      </c>
      <c r="N32">
        <v>21725551</v>
      </c>
      <c r="O32" t="s">
        <v>19</v>
      </c>
      <c r="P32" s="22" t="s">
        <v>1776</v>
      </c>
      <c r="Q32" s="22" t="s">
        <v>1777</v>
      </c>
      <c r="R32" s="22" t="s">
        <v>75</v>
      </c>
      <c r="S32" s="22" t="s">
        <v>76</v>
      </c>
      <c r="T32" s="22" t="s">
        <v>1778</v>
      </c>
      <c r="U32" s="22" t="s">
        <v>1779</v>
      </c>
    </row>
    <row r="33" spans="1:21" x14ac:dyDescent="0.15">
      <c r="A33" s="22" t="s">
        <v>1780</v>
      </c>
      <c r="B33" s="22" t="s">
        <v>1781</v>
      </c>
      <c r="C33" s="22" t="s">
        <v>1782</v>
      </c>
      <c r="D33">
        <v>2.391</v>
      </c>
      <c r="E33">
        <v>36.1</v>
      </c>
      <c r="F33">
        <v>35.5</v>
      </c>
      <c r="G33">
        <v>10.8</v>
      </c>
      <c r="H33" s="23">
        <f t="shared" si="0"/>
        <v>0.3042253521126761</v>
      </c>
      <c r="I33" s="24" t="str">
        <f>HYPERLINK("http://genome.ucsc.edu/cgi-bin/hgTracks?clade=vertebrate&amp;org=Zebrafish&amp;db=danRer7&amp;position=chr2:55840149-55853077","chr2:55840149-55853077")</f>
        <v>chr2:55840149-55853077</v>
      </c>
      <c r="J33" s="24" t="str">
        <f>HYPERLINK("http://www.ncbi.nlm.nih.gov/entrez/query.fcgi?db=gene&amp;cmd=Retrieve&amp;list_uids=321315","321315")</f>
        <v>321315</v>
      </c>
      <c r="K33" s="24" t="str">
        <f>HYPERLINK("http://www.ncbi.nlm.nih.gov/entrez/query.fcgi?cmd=Search&amp;db=Nucleotide&amp;term=NM_201465","NM_201465")</f>
        <v>NM_201465</v>
      </c>
      <c r="L33" t="s">
        <v>79</v>
      </c>
      <c r="M33">
        <v>55840149</v>
      </c>
      <c r="N33">
        <v>55853077</v>
      </c>
      <c r="O33" t="s">
        <v>23</v>
      </c>
      <c r="P33" s="22" t="s">
        <v>1783</v>
      </c>
      <c r="Q33" s="22" t="s">
        <v>1784</v>
      </c>
      <c r="R33" s="22" t="s">
        <v>1785</v>
      </c>
      <c r="S33" s="22" t="s">
        <v>1786</v>
      </c>
      <c r="T33" s="22" t="s">
        <v>1787</v>
      </c>
      <c r="U33" s="22" t="s">
        <v>1788</v>
      </c>
    </row>
    <row r="34" spans="1:21" x14ac:dyDescent="0.15">
      <c r="A34" s="22" t="s">
        <v>1789</v>
      </c>
      <c r="B34" s="22" t="s">
        <v>1789</v>
      </c>
      <c r="C34" s="22" t="s">
        <v>1790</v>
      </c>
      <c r="D34">
        <v>1.0980000000000001</v>
      </c>
      <c r="E34">
        <v>10.5</v>
      </c>
      <c r="F34">
        <v>14.01</v>
      </c>
      <c r="G34">
        <v>4.34</v>
      </c>
      <c r="H34" s="23">
        <f t="shared" si="0"/>
        <v>0.30977872947894358</v>
      </c>
      <c r="I34" s="24" t="str">
        <f>HYPERLINK("http://genome.ucsc.edu/cgi-bin/hgTracks?clade=vertebrate&amp;org=Zebrafish&amp;db=danRer7&amp;position=chr17:6040393-6046442","chr17:6040393-6046442")</f>
        <v>chr17:6040393-6046442</v>
      </c>
      <c r="J34" s="24" t="str">
        <f>HYPERLINK("http://www.ncbi.nlm.nih.gov/entrez/query.fcgi?db=gene&amp;cmd=Retrieve&amp;list_uids=436735","436735")</f>
        <v>436735</v>
      </c>
      <c r="K34" s="24" t="str">
        <f>HYPERLINK("http://www.ncbi.nlm.nih.gov/entrez/query.fcgi?cmd=Search&amp;db=Nucleotide&amp;term=NM_001002462","NM_001002462")</f>
        <v>NM_001002462</v>
      </c>
      <c r="L34" t="s">
        <v>84</v>
      </c>
      <c r="M34">
        <v>6040393</v>
      </c>
      <c r="N34">
        <v>6046442</v>
      </c>
      <c r="O34" t="s">
        <v>23</v>
      </c>
      <c r="P34" s="22" t="s">
        <v>1791</v>
      </c>
      <c r="Q34" s="22" t="s">
        <v>1792</v>
      </c>
      <c r="T34" s="22" t="s">
        <v>1793</v>
      </c>
      <c r="U34" s="22" t="s">
        <v>1794</v>
      </c>
    </row>
    <row r="35" spans="1:21" x14ac:dyDescent="0.15">
      <c r="A35" s="22" t="s">
        <v>1795</v>
      </c>
      <c r="B35" s="22" t="s">
        <v>1796</v>
      </c>
      <c r="C35" s="22" t="s">
        <v>1797</v>
      </c>
      <c r="D35">
        <v>2.8650000000000002</v>
      </c>
      <c r="E35">
        <v>32.880000000000003</v>
      </c>
      <c r="F35">
        <v>24.03</v>
      </c>
      <c r="G35">
        <v>7.45</v>
      </c>
      <c r="H35" s="23">
        <f t="shared" si="0"/>
        <v>0.31002913025384937</v>
      </c>
      <c r="I35" s="24" t="str">
        <f>HYPERLINK("http://genome.ucsc.edu/cgi-bin/hgTracks?clade=vertebrate&amp;org=Zebrafish&amp;db=danRer7&amp;position=chr2:32223430-32231393","chr2:32223430-32231393")</f>
        <v>chr2:32223430-32231393</v>
      </c>
      <c r="J35" s="24" t="str">
        <f>HYPERLINK("http://www.ncbi.nlm.nih.gov/entrez/query.fcgi?db=gene&amp;cmd=Retrieve&amp;list_uids=336770","336770")</f>
        <v>336770</v>
      </c>
      <c r="K35" s="24" t="str">
        <f>HYPERLINK("http://www.ncbi.nlm.nih.gov/entrez/query.fcgi?cmd=Search&amp;db=Nucleotide&amp;term=NM_201315","NM_201315")</f>
        <v>NM_201315</v>
      </c>
      <c r="L35" t="s">
        <v>79</v>
      </c>
      <c r="M35">
        <v>32223430</v>
      </c>
      <c r="N35">
        <v>32231393</v>
      </c>
      <c r="O35" t="s">
        <v>19</v>
      </c>
      <c r="T35" s="22" t="s">
        <v>1798</v>
      </c>
      <c r="U35" s="22" t="s">
        <v>1799</v>
      </c>
    </row>
    <row r="36" spans="1:21" x14ac:dyDescent="0.15">
      <c r="A36" s="22" t="s">
        <v>1800</v>
      </c>
      <c r="B36" s="22" t="s">
        <v>1801</v>
      </c>
      <c r="C36" s="22" t="s">
        <v>1802</v>
      </c>
      <c r="D36">
        <v>3.17</v>
      </c>
      <c r="E36">
        <v>32.82</v>
      </c>
      <c r="F36">
        <v>39.47</v>
      </c>
      <c r="G36">
        <v>12.5</v>
      </c>
      <c r="H36" s="23">
        <f t="shared" si="0"/>
        <v>0.31669622498099825</v>
      </c>
      <c r="I36" s="24" t="str">
        <f>HYPERLINK("http://genome.ucsc.edu/cgi-bin/hgTracks?clade=vertebrate&amp;org=Zebrafish&amp;db=danRer7&amp;position=chr20:31243499-31257030","chr20:31243499-31257030")</f>
        <v>chr20:31243499-31257030</v>
      </c>
      <c r="J36" s="24" t="str">
        <f>HYPERLINK("http://www.ncbi.nlm.nih.gov/entrez/query.fcgi?db=gene&amp;cmd=Retrieve&amp;list_uids=322160","322160")</f>
        <v>322160</v>
      </c>
      <c r="K36" s="24" t="str">
        <f>HYPERLINK("http://www.ncbi.nlm.nih.gov/entrez/query.fcgi?cmd=Search&amp;db=Nucleotide&amp;term=NM_197933","NM_197933")</f>
        <v>NM_197933</v>
      </c>
      <c r="L36" t="s">
        <v>96</v>
      </c>
      <c r="M36">
        <v>31243499</v>
      </c>
      <c r="N36">
        <v>31257030</v>
      </c>
      <c r="O36" t="s">
        <v>23</v>
      </c>
      <c r="P36" s="22" t="s">
        <v>1803</v>
      </c>
      <c r="Q36" s="22" t="s">
        <v>1804</v>
      </c>
      <c r="T36" s="22" t="s">
        <v>1805</v>
      </c>
      <c r="U36" s="22" t="s">
        <v>1806</v>
      </c>
    </row>
    <row r="37" spans="1:21" x14ac:dyDescent="0.15">
      <c r="A37" s="22" t="s">
        <v>1807</v>
      </c>
      <c r="B37" s="22" t="s">
        <v>1808</v>
      </c>
      <c r="C37" s="22" t="s">
        <v>1809</v>
      </c>
      <c r="D37">
        <v>3.9750000000000001</v>
      </c>
      <c r="E37">
        <v>8.35</v>
      </c>
      <c r="F37">
        <v>12.62</v>
      </c>
      <c r="G37">
        <v>4.0199999999999996</v>
      </c>
      <c r="H37" s="23">
        <f t="shared" si="0"/>
        <v>0.31854199683042789</v>
      </c>
      <c r="I37" s="24" t="str">
        <f>HYPERLINK("http://genome.ucsc.edu/cgi-bin/hgTracks?clade=vertebrate&amp;org=Zebrafish&amp;db=danRer7&amp;position=chr21:25056151-25065823","chr21:25056151-25065823")</f>
        <v>chr21:25056151-25065823</v>
      </c>
      <c r="J37" s="24" t="str">
        <f>HYPERLINK("http://www.ncbi.nlm.nih.gov/entrez/query.fcgi?db=gene&amp;cmd=Retrieve&amp;list_uids=554046","554046")</f>
        <v>554046</v>
      </c>
      <c r="K37" s="24" t="str">
        <f>HYPERLINK("http://www.ncbi.nlm.nih.gov/entrez/query.fcgi?cmd=Search&amp;db=Nucleotide&amp;term=NM_001023574","NM_001023574")</f>
        <v>NM_001023574</v>
      </c>
      <c r="L37" t="s">
        <v>83</v>
      </c>
      <c r="M37">
        <v>25056151</v>
      </c>
      <c r="N37">
        <v>25065823</v>
      </c>
      <c r="O37" t="s">
        <v>19</v>
      </c>
      <c r="P37" s="22" t="s">
        <v>1810</v>
      </c>
      <c r="Q37" s="22" t="s">
        <v>1811</v>
      </c>
      <c r="R37" s="22" t="s">
        <v>1812</v>
      </c>
      <c r="S37" s="22" t="s">
        <v>1813</v>
      </c>
      <c r="T37" s="22" t="s">
        <v>1814</v>
      </c>
      <c r="U37" s="22" t="s">
        <v>1815</v>
      </c>
    </row>
    <row r="38" spans="1:21" x14ac:dyDescent="0.15">
      <c r="A38" s="22" t="s">
        <v>1816</v>
      </c>
      <c r="B38" s="22" t="s">
        <v>1817</v>
      </c>
      <c r="C38" s="22" t="s">
        <v>1818</v>
      </c>
      <c r="D38">
        <v>1.107</v>
      </c>
      <c r="E38">
        <v>30.39</v>
      </c>
      <c r="F38">
        <v>28.57</v>
      </c>
      <c r="G38">
        <v>9.57</v>
      </c>
      <c r="H38" s="23">
        <f t="shared" si="0"/>
        <v>0.33496674833741685</v>
      </c>
      <c r="I38" s="24" t="str">
        <f>HYPERLINK("http://genome.ucsc.edu/cgi-bin/hgTracks?clade=vertebrate&amp;org=Zebrafish&amp;db=danRer7&amp;position=chr19:31646945-31649476","chr19:31646945-31649476")</f>
        <v>chr19:31646945-31649476</v>
      </c>
      <c r="J38" s="24" t="str">
        <f>HYPERLINK("http://www.ncbi.nlm.nih.gov/entrez/query.fcgi?db=gene&amp;cmd=Retrieve&amp;list_uids=335616","335616")</f>
        <v>335616</v>
      </c>
      <c r="K38" s="24" t="str">
        <f>HYPERLINK("http://www.ncbi.nlm.nih.gov/entrez/query.fcgi?cmd=Search&amp;db=Nucleotide&amp;term=NM_001012481","NM_001012481")</f>
        <v>NM_001012481</v>
      </c>
      <c r="L38" t="s">
        <v>70</v>
      </c>
      <c r="M38">
        <v>31646945</v>
      </c>
      <c r="N38">
        <v>31649476</v>
      </c>
      <c r="O38" t="s">
        <v>19</v>
      </c>
      <c r="P38" s="22" t="s">
        <v>65</v>
      </c>
      <c r="Q38" s="22" t="s">
        <v>66</v>
      </c>
      <c r="R38" s="22" t="s">
        <v>159</v>
      </c>
      <c r="S38" s="22" t="s">
        <v>160</v>
      </c>
      <c r="T38" s="22" t="s">
        <v>24</v>
      </c>
      <c r="U38" s="22" t="s">
        <v>25</v>
      </c>
    </row>
    <row r="39" spans="1:21" x14ac:dyDescent="0.15">
      <c r="A39" s="22" t="s">
        <v>1819</v>
      </c>
      <c r="B39" s="22" t="s">
        <v>1820</v>
      </c>
      <c r="C39" s="22" t="s">
        <v>1821</v>
      </c>
      <c r="D39">
        <v>2.1520000000000001</v>
      </c>
      <c r="E39">
        <v>23.32</v>
      </c>
      <c r="F39">
        <v>23.11</v>
      </c>
      <c r="G39">
        <v>7.8</v>
      </c>
      <c r="H39" s="23">
        <f t="shared" si="0"/>
        <v>0.33751622674167026</v>
      </c>
      <c r="I39" s="24" t="str">
        <f>HYPERLINK("http://genome.ucsc.edu/cgi-bin/hgTracks?clade=vertebrate&amp;org=Zebrafish&amp;db=danRer7&amp;position=chr9:33674336-33681940","chr9:33674336-33681940")</f>
        <v>chr9:33674336-33681940</v>
      </c>
      <c r="J39" s="24" t="str">
        <f>HYPERLINK("http://www.ncbi.nlm.nih.gov/entrez/query.fcgi?db=gene&amp;cmd=Retrieve&amp;list_uids=386709","386709")</f>
        <v>386709</v>
      </c>
      <c r="K39" s="24" t="str">
        <f>HYPERLINK("http://www.ncbi.nlm.nih.gov/entrez/query.fcgi?cmd=Search&amp;db=Nucleotide&amp;term=NM_198821","NM_198821")</f>
        <v>NM_198821</v>
      </c>
      <c r="L39" t="s">
        <v>22</v>
      </c>
      <c r="M39">
        <v>33674336</v>
      </c>
      <c r="N39">
        <v>33681940</v>
      </c>
      <c r="O39" t="s">
        <v>19</v>
      </c>
      <c r="P39" s="22" t="s">
        <v>1783</v>
      </c>
      <c r="Q39" s="22" t="s">
        <v>1784</v>
      </c>
      <c r="T39" s="22" t="s">
        <v>1822</v>
      </c>
      <c r="U39" s="22" t="s">
        <v>1823</v>
      </c>
    </row>
    <row r="40" spans="1:21" x14ac:dyDescent="0.15">
      <c r="A40" s="22" t="s">
        <v>1824</v>
      </c>
      <c r="B40" s="22" t="s">
        <v>1824</v>
      </c>
      <c r="C40" s="22" t="s">
        <v>1825</v>
      </c>
      <c r="D40">
        <v>2.3929999999999998</v>
      </c>
      <c r="E40">
        <v>127.27</v>
      </c>
      <c r="F40">
        <v>205.96</v>
      </c>
      <c r="G40">
        <v>69.69</v>
      </c>
      <c r="H40" s="23">
        <f t="shared" si="0"/>
        <v>0.33836667314041557</v>
      </c>
      <c r="I40" s="24" t="str">
        <f>HYPERLINK("http://genome.ucsc.edu/cgi-bin/hgTracks?clade=vertebrate&amp;org=Zebrafish&amp;db=danRer7&amp;position=chr2:32498013-32508762","chr2:32498013-32508762")</f>
        <v>chr2:32498013-32508762</v>
      </c>
      <c r="J40" s="24" t="str">
        <f>HYPERLINK("http://www.ncbi.nlm.nih.gov/entrez/query.fcgi?db=gene&amp;cmd=Retrieve&amp;list_uids=563946","563946")</f>
        <v>563946</v>
      </c>
      <c r="K40" s="24" t="str">
        <f>HYPERLINK("http://www.ncbi.nlm.nih.gov/entrez/query.fcgi?cmd=Search&amp;db=Nucleotide&amp;term=NM_001039819","NM_001039819")</f>
        <v>NM_001039819</v>
      </c>
      <c r="L40" t="s">
        <v>79</v>
      </c>
      <c r="M40">
        <v>32498013</v>
      </c>
      <c r="N40">
        <v>32508762</v>
      </c>
      <c r="O40" t="s">
        <v>23</v>
      </c>
      <c r="P40" s="22" t="s">
        <v>65</v>
      </c>
      <c r="Q40" s="22" t="s">
        <v>66</v>
      </c>
      <c r="R40" s="22" t="s">
        <v>392</v>
      </c>
      <c r="S40" s="22" t="s">
        <v>393</v>
      </c>
      <c r="T40" s="22" t="s">
        <v>394</v>
      </c>
      <c r="U40" s="22" t="s">
        <v>395</v>
      </c>
    </row>
    <row r="41" spans="1:21" x14ac:dyDescent="0.15">
      <c r="A41" s="22" t="s">
        <v>1826</v>
      </c>
      <c r="B41" s="22" t="s">
        <v>1827</v>
      </c>
      <c r="C41" s="22" t="s">
        <v>1828</v>
      </c>
      <c r="D41">
        <v>1.1879999999999999</v>
      </c>
      <c r="E41">
        <v>10.81</v>
      </c>
      <c r="F41">
        <v>20.23</v>
      </c>
      <c r="G41">
        <v>6.86</v>
      </c>
      <c r="H41" s="23">
        <f t="shared" si="0"/>
        <v>0.33910034602076128</v>
      </c>
      <c r="I41" s="24" t="str">
        <f>HYPERLINK("http://genome.ucsc.edu/cgi-bin/hgTracks?clade=vertebrate&amp;org=Zebrafish&amp;db=danRer7&amp;position=chr5:46432655-46448200","chr5:46432655-46448200")</f>
        <v>chr5:46432655-46448200</v>
      </c>
      <c r="J41" s="24" t="str">
        <f>HYPERLINK("http://www.ncbi.nlm.nih.gov/entrez/query.fcgi?db=gene&amp;cmd=Retrieve&amp;list_uids=445505","445505")</f>
        <v>445505</v>
      </c>
      <c r="K41" s="24" t="str">
        <f>HYPERLINK("http://www.ncbi.nlm.nih.gov/entrez/query.fcgi?cmd=Search&amp;db=Nucleotide&amp;term=NM_001004008","NM_001004008")</f>
        <v>NM_001004008</v>
      </c>
      <c r="L41" t="s">
        <v>29</v>
      </c>
      <c r="M41">
        <v>46432655</v>
      </c>
      <c r="N41">
        <v>46448200</v>
      </c>
      <c r="O41" t="s">
        <v>19</v>
      </c>
      <c r="P41" s="22" t="s">
        <v>1829</v>
      </c>
      <c r="Q41" s="22" t="s">
        <v>1830</v>
      </c>
      <c r="T41" s="22" t="s">
        <v>1831</v>
      </c>
      <c r="U41" s="22" t="s">
        <v>1832</v>
      </c>
    </row>
    <row r="42" spans="1:21" x14ac:dyDescent="0.15">
      <c r="A42" s="22" t="s">
        <v>1833</v>
      </c>
      <c r="B42" s="22" t="s">
        <v>1834</v>
      </c>
      <c r="C42" s="22" t="s">
        <v>1835</v>
      </c>
      <c r="D42">
        <v>4.6399999999999997</v>
      </c>
      <c r="E42">
        <v>20.57</v>
      </c>
      <c r="F42">
        <v>31.71</v>
      </c>
      <c r="G42">
        <v>10.86</v>
      </c>
      <c r="H42" s="23">
        <f t="shared" si="0"/>
        <v>0.34247871333964047</v>
      </c>
      <c r="I42" s="24" t="str">
        <f>HYPERLINK("http://genome.ucsc.edu/cgi-bin/hgTracks?clade=vertebrate&amp;org=Zebrafish&amp;db=danRer7&amp;position=chr16:31494335-31505403","chr16:31494335-31505403")</f>
        <v>chr16:31494335-31505403</v>
      </c>
      <c r="J42" s="24" t="str">
        <f>HYPERLINK("http://www.ncbi.nlm.nih.gov/entrez/query.fcgi?db=gene&amp;cmd=Retrieve&amp;list_uids=337596","337596")</f>
        <v>337596</v>
      </c>
      <c r="K42" s="24" t="str">
        <f>HYPERLINK("http://www.ncbi.nlm.nih.gov/entrez/query.fcgi?cmd=Search&amp;db=Nucleotide&amp;term=NM_200071","NM_200071")</f>
        <v>NM_200071</v>
      </c>
      <c r="L42" t="s">
        <v>71</v>
      </c>
      <c r="M42">
        <v>31494335</v>
      </c>
      <c r="N42">
        <v>31505403</v>
      </c>
      <c r="O42" t="s">
        <v>19</v>
      </c>
      <c r="P42" s="22" t="s">
        <v>1836</v>
      </c>
      <c r="Q42" s="22" t="s">
        <v>1837</v>
      </c>
      <c r="R42" s="22" t="s">
        <v>1838</v>
      </c>
      <c r="S42" s="22" t="s">
        <v>1839</v>
      </c>
    </row>
    <row r="43" spans="1:21" x14ac:dyDescent="0.15">
      <c r="C43" s="22" t="s">
        <v>1840</v>
      </c>
      <c r="D43">
        <v>22.545999999999999</v>
      </c>
      <c r="E43">
        <v>8.83</v>
      </c>
      <c r="F43">
        <v>13.04</v>
      </c>
      <c r="G43">
        <v>4.4800000000000004</v>
      </c>
      <c r="H43" s="23">
        <f t="shared" si="0"/>
        <v>0.34355828220858903</v>
      </c>
      <c r="I43" s="24" t="str">
        <f>HYPERLINK("http://genome.ucsc.edu/cgi-bin/hgTracks?clade=vertebrate&amp;org=Zebrafish&amp;db=danRer7&amp;position=chr13:1401116-1472083","chr13:1401116-1472083")</f>
        <v>chr13:1401116-1472083</v>
      </c>
      <c r="J43" s="24"/>
      <c r="K43" s="24"/>
      <c r="L43" t="s">
        <v>74</v>
      </c>
      <c r="M43">
        <v>1401116</v>
      </c>
      <c r="N43">
        <v>1472083</v>
      </c>
      <c r="O43" t="s">
        <v>1666</v>
      </c>
    </row>
    <row r="44" spans="1:21" x14ac:dyDescent="0.15">
      <c r="A44" s="22" t="s">
        <v>1841</v>
      </c>
      <c r="B44" s="22" t="s">
        <v>1842</v>
      </c>
      <c r="C44" s="22" t="s">
        <v>1843</v>
      </c>
      <c r="D44">
        <v>1.694</v>
      </c>
      <c r="E44">
        <v>9.07</v>
      </c>
      <c r="F44">
        <v>12.56</v>
      </c>
      <c r="G44">
        <v>4.3600000000000003</v>
      </c>
      <c r="H44" s="23">
        <f t="shared" si="0"/>
        <v>0.34713375796178347</v>
      </c>
      <c r="I44" s="24" t="str">
        <f>HYPERLINK("http://genome.ucsc.edu/cgi-bin/hgTracks?clade=vertebrate&amp;org=Zebrafish&amp;db=danRer7&amp;position=chr12:19591521-19594812","chr12:19591521-19594812")</f>
        <v>chr12:19591521-19594812</v>
      </c>
      <c r="J44" s="24" t="str">
        <f>HYPERLINK("http://www.ncbi.nlm.nih.gov/entrez/query.fcgi?db=gene&amp;cmd=Retrieve&amp;list_uids=792824","792824")</f>
        <v>792824</v>
      </c>
      <c r="K44" s="24" t="str">
        <f>HYPERLINK("http://www.ncbi.nlm.nih.gov/entrez/query.fcgi?cmd=Search&amp;db=Nucleotide&amp;term=NM_212726","NM_212726")</f>
        <v>NM_212726</v>
      </c>
      <c r="L44" t="s">
        <v>57</v>
      </c>
      <c r="M44">
        <v>19591521</v>
      </c>
      <c r="N44">
        <v>19594812</v>
      </c>
      <c r="O44" t="s">
        <v>19</v>
      </c>
      <c r="P44" s="22" t="s">
        <v>37</v>
      </c>
      <c r="Q44" s="22" t="s">
        <v>38</v>
      </c>
      <c r="R44" s="22" t="s">
        <v>67</v>
      </c>
      <c r="S44" s="22" t="s">
        <v>68</v>
      </c>
      <c r="T44" s="22" t="s">
        <v>1844</v>
      </c>
      <c r="U44" s="22" t="s">
        <v>1845</v>
      </c>
    </row>
    <row r="45" spans="1:21" x14ac:dyDescent="0.15">
      <c r="A45" s="22" t="s">
        <v>1846</v>
      </c>
      <c r="B45" s="22" t="s">
        <v>1847</v>
      </c>
      <c r="C45" s="22" t="s">
        <v>1848</v>
      </c>
      <c r="D45">
        <v>1.903</v>
      </c>
      <c r="E45">
        <v>37.799999999999997</v>
      </c>
      <c r="F45">
        <v>44.6</v>
      </c>
      <c r="G45">
        <v>15.61</v>
      </c>
      <c r="H45" s="23">
        <f t="shared" si="0"/>
        <v>0.35</v>
      </c>
      <c r="I45" s="24" t="str">
        <f>HYPERLINK("http://genome.ucsc.edu/cgi-bin/hgTracks?clade=vertebrate&amp;org=Zebrafish&amp;db=danRer7&amp;position=chr8:2684694-2704946","chr8:2684694-2704946")</f>
        <v>chr8:2684694-2704946</v>
      </c>
      <c r="J45" s="24" t="str">
        <f>HYPERLINK("http://www.ncbi.nlm.nih.gov/entrez/query.fcgi?db=gene&amp;cmd=Retrieve&amp;list_uids=406325","406325")</f>
        <v>406325</v>
      </c>
      <c r="K45" s="24" t="str">
        <f>HYPERLINK("http://www.ncbi.nlm.nih.gov/entrez/query.fcgi?cmd=Search&amp;db=Nucleotide&amp;term=NM_213052","NM_213052")</f>
        <v>NM_213052</v>
      </c>
      <c r="L45" t="s">
        <v>78</v>
      </c>
      <c r="M45">
        <v>2684694</v>
      </c>
      <c r="N45">
        <v>2704946</v>
      </c>
      <c r="O45" t="s">
        <v>19</v>
      </c>
      <c r="P45" s="22" t="s">
        <v>37</v>
      </c>
      <c r="Q45" s="22" t="s">
        <v>38</v>
      </c>
      <c r="T45" s="22" t="s">
        <v>1849</v>
      </c>
      <c r="U45" s="22" t="s">
        <v>1850</v>
      </c>
    </row>
    <row r="46" spans="1:21" x14ac:dyDescent="0.15">
      <c r="A46" s="22" t="s">
        <v>1851</v>
      </c>
      <c r="B46" s="22" t="s">
        <v>1852</v>
      </c>
      <c r="C46" s="22" t="s">
        <v>1853</v>
      </c>
      <c r="D46">
        <v>1.0820000000000001</v>
      </c>
      <c r="E46">
        <v>77.760000000000005</v>
      </c>
      <c r="F46">
        <v>85.04</v>
      </c>
      <c r="G46">
        <v>30.37</v>
      </c>
      <c r="H46" s="23">
        <f t="shared" si="0"/>
        <v>0.35712605832549388</v>
      </c>
      <c r="I46" s="24" t="str">
        <f>HYPERLINK("http://genome.ucsc.edu/cgi-bin/hgTracks?clade=vertebrate&amp;org=Zebrafish&amp;db=danRer7&amp;position=chr12:10855549-10859061","chr12:10855549-10859061")</f>
        <v>chr12:10855549-10859061</v>
      </c>
      <c r="J46" s="24" t="str">
        <f>HYPERLINK("http://www.ncbi.nlm.nih.gov/entrez/query.fcgi?db=gene&amp;cmd=Retrieve&amp;list_uids=406298","406298")</f>
        <v>406298</v>
      </c>
      <c r="K46" s="24" t="str">
        <f>HYPERLINK("http://www.ncbi.nlm.nih.gov/entrez/query.fcgi?cmd=Search&amp;db=Nucleotide&amp;term=NM_213025","NM_213025")</f>
        <v>NM_213025</v>
      </c>
      <c r="L46" t="s">
        <v>57</v>
      </c>
      <c r="M46">
        <v>10855549</v>
      </c>
      <c r="N46">
        <v>10859061</v>
      </c>
      <c r="O46" t="s">
        <v>23</v>
      </c>
      <c r="P46" s="22" t="s">
        <v>1854</v>
      </c>
      <c r="Q46" s="22" t="s">
        <v>1855</v>
      </c>
      <c r="R46" s="22" t="s">
        <v>1856</v>
      </c>
      <c r="S46" s="22" t="s">
        <v>1857</v>
      </c>
    </row>
    <row r="47" spans="1:21" x14ac:dyDescent="0.15">
      <c r="A47" s="22" t="s">
        <v>1858</v>
      </c>
      <c r="B47" s="22" t="s">
        <v>1859</v>
      </c>
      <c r="C47" s="22" t="s">
        <v>1860</v>
      </c>
      <c r="D47">
        <v>1.94</v>
      </c>
      <c r="E47">
        <v>39.22</v>
      </c>
      <c r="F47">
        <v>47.77</v>
      </c>
      <c r="G47">
        <v>17.12</v>
      </c>
      <c r="H47" s="23">
        <f t="shared" si="0"/>
        <v>0.35838392296420346</v>
      </c>
      <c r="I47" s="24" t="str">
        <f>HYPERLINK("http://genome.ucsc.edu/cgi-bin/hgTracks?clade=vertebrate&amp;org=Zebrafish&amp;db=danRer7&amp;position=Zv9_NA706:901-21663","Zv9_NA706:901-21663")</f>
        <v>Zv9_NA706:901-21663</v>
      </c>
      <c r="J47" s="24" t="str">
        <f>HYPERLINK("http://www.ncbi.nlm.nih.gov/entrez/query.fcgi?db=gene&amp;cmd=Retrieve&amp;list_uids=336606","336606")</f>
        <v>336606</v>
      </c>
      <c r="K47" s="24" t="str">
        <f>HYPERLINK("http://www.ncbi.nlm.nih.gov/entrez/query.fcgi?cmd=Search&amp;db=Nucleotide&amp;term=NM_200019","NM_200019")</f>
        <v>NM_200019</v>
      </c>
      <c r="L47" t="s">
        <v>1861</v>
      </c>
      <c r="M47">
        <v>901</v>
      </c>
      <c r="N47">
        <v>21663</v>
      </c>
      <c r="O47" t="s">
        <v>23</v>
      </c>
      <c r="P47" s="22" t="s">
        <v>37</v>
      </c>
      <c r="Q47" s="22" t="s">
        <v>38</v>
      </c>
      <c r="T47" s="22" t="s">
        <v>1849</v>
      </c>
      <c r="U47" s="22" t="s">
        <v>1850</v>
      </c>
    </row>
    <row r="48" spans="1:21" x14ac:dyDescent="0.15">
      <c r="A48" s="22" t="s">
        <v>1862</v>
      </c>
      <c r="B48" s="22" t="s">
        <v>1863</v>
      </c>
      <c r="C48" s="22" t="s">
        <v>1864</v>
      </c>
      <c r="D48">
        <v>2.8420000000000001</v>
      </c>
      <c r="E48">
        <v>71.36</v>
      </c>
      <c r="F48">
        <v>61.23</v>
      </c>
      <c r="G48">
        <v>22.02</v>
      </c>
      <c r="H48" s="23">
        <f t="shared" si="0"/>
        <v>0.35962763351298382</v>
      </c>
      <c r="I48" s="24" t="str">
        <f>HYPERLINK("http://genome.ucsc.edu/cgi-bin/hgTracks?clade=vertebrate&amp;org=Zebrafish&amp;db=danRer7&amp;position=chr4:15406832-15413243","chr4:15406832-15413243")</f>
        <v>chr4:15406832-15413243</v>
      </c>
      <c r="J48" s="24" t="str">
        <f>HYPERLINK("http://www.ncbi.nlm.nih.gov/entrez/query.fcgi?db=gene&amp;cmd=Retrieve&amp;list_uids=567017","567017")</f>
        <v>567017</v>
      </c>
      <c r="K48" s="24" t="str">
        <f>HYPERLINK("http://www.ncbi.nlm.nih.gov/entrez/query.fcgi?cmd=Search&amp;db=Nucleotide&amp;term=NM_001025548","NM_001025548")</f>
        <v>NM_001025548</v>
      </c>
      <c r="L48" t="s">
        <v>77</v>
      </c>
      <c r="M48">
        <v>15406832</v>
      </c>
      <c r="N48">
        <v>15413243</v>
      </c>
      <c r="O48" t="s">
        <v>19</v>
      </c>
    </row>
    <row r="49" spans="1:21" x14ac:dyDescent="0.15">
      <c r="A49" s="22" t="s">
        <v>1865</v>
      </c>
      <c r="B49" s="22" t="s">
        <v>1866</v>
      </c>
      <c r="C49" s="22" t="s">
        <v>1867</v>
      </c>
      <c r="D49">
        <v>2.1549999999999998</v>
      </c>
      <c r="E49">
        <v>95.71</v>
      </c>
      <c r="F49">
        <v>75.95</v>
      </c>
      <c r="G49">
        <v>27.32</v>
      </c>
      <c r="H49" s="23">
        <f t="shared" si="0"/>
        <v>0.35971033574720207</v>
      </c>
      <c r="I49" s="24" t="str">
        <f>HYPERLINK("http://genome.ucsc.edu/cgi-bin/hgTracks?clade=vertebrate&amp;org=Zebrafish&amp;db=danRer7&amp;position=chr10:37906776-37917458","chr10:37906776-37917458")</f>
        <v>chr10:37906776-37917458</v>
      </c>
      <c r="J49" s="24" t="str">
        <f>HYPERLINK("http://www.ncbi.nlm.nih.gov/entrez/query.fcgi?db=gene&amp;cmd=Retrieve&amp;list_uids=555812","555812")</f>
        <v>555812</v>
      </c>
      <c r="K49" s="24" t="str">
        <f>HYPERLINK("http://www.ncbi.nlm.nih.gov/entrez/query.fcgi?cmd=Search&amp;db=Nucleotide&amp;term=NM_131176","NM_131176")</f>
        <v>NM_131176</v>
      </c>
      <c r="L49" t="s">
        <v>92</v>
      </c>
      <c r="M49">
        <v>37906776</v>
      </c>
      <c r="N49">
        <v>37917458</v>
      </c>
      <c r="O49" t="s">
        <v>23</v>
      </c>
      <c r="P49" s="22" t="s">
        <v>1868</v>
      </c>
      <c r="Q49" s="22" t="s">
        <v>1869</v>
      </c>
      <c r="R49" s="22" t="s">
        <v>302</v>
      </c>
      <c r="S49" s="22" t="s">
        <v>303</v>
      </c>
      <c r="T49" s="22" t="s">
        <v>171</v>
      </c>
      <c r="U49" s="22" t="s">
        <v>172</v>
      </c>
    </row>
    <row r="50" spans="1:21" x14ac:dyDescent="0.15">
      <c r="A50" s="22" t="s">
        <v>1870</v>
      </c>
      <c r="B50" s="22" t="s">
        <v>1871</v>
      </c>
      <c r="C50" s="22" t="s">
        <v>1872</v>
      </c>
      <c r="D50">
        <v>4.992</v>
      </c>
      <c r="E50">
        <v>13.52</v>
      </c>
      <c r="F50">
        <v>21.88</v>
      </c>
      <c r="G50">
        <v>7.96</v>
      </c>
      <c r="H50" s="23">
        <f t="shared" si="0"/>
        <v>0.3638025594149909</v>
      </c>
      <c r="I50" s="24" t="str">
        <f>HYPERLINK("http://genome.ucsc.edu/cgi-bin/hgTracks?clade=vertebrate&amp;org=Zebrafish&amp;db=danRer7&amp;position=chr23:43623090-43639783","chr23:43623090-43639783")</f>
        <v>chr23:43623090-43639783</v>
      </c>
      <c r="J50" s="24" t="str">
        <f>HYPERLINK("http://www.ncbi.nlm.nih.gov/entrez/query.fcgi?db=gene&amp;cmd=Retrieve&amp;list_uids=447909","447909")</f>
        <v>447909</v>
      </c>
      <c r="K50" s="24" t="str">
        <f>HYPERLINK("http://www.ncbi.nlm.nih.gov/entrez/query.fcgi?cmd=Search&amp;db=Nucleotide&amp;term=NM_001004647","NM_001004647")</f>
        <v>NM_001004647</v>
      </c>
      <c r="L50" t="s">
        <v>80</v>
      </c>
      <c r="M50">
        <v>43623090</v>
      </c>
      <c r="N50">
        <v>43639783</v>
      </c>
      <c r="O50" t="s">
        <v>23</v>
      </c>
      <c r="P50" s="22" t="s">
        <v>1873</v>
      </c>
      <c r="Q50" s="22" t="s">
        <v>1874</v>
      </c>
      <c r="R50" s="22" t="s">
        <v>67</v>
      </c>
      <c r="S50" s="22" t="s">
        <v>68</v>
      </c>
      <c r="T50" s="22" t="s">
        <v>1875</v>
      </c>
      <c r="U50" s="22" t="s">
        <v>1876</v>
      </c>
    </row>
    <row r="51" spans="1:21" x14ac:dyDescent="0.15">
      <c r="A51" s="22" t="s">
        <v>1877</v>
      </c>
      <c r="B51" s="22" t="s">
        <v>1877</v>
      </c>
      <c r="C51" s="22" t="s">
        <v>1878</v>
      </c>
      <c r="D51">
        <v>3.2</v>
      </c>
      <c r="E51">
        <v>34.119999999999997</v>
      </c>
      <c r="F51">
        <v>41.42</v>
      </c>
      <c r="G51">
        <v>15.11</v>
      </c>
      <c r="H51" s="23">
        <f t="shared" si="0"/>
        <v>0.36479961371318204</v>
      </c>
      <c r="I51" s="24" t="str">
        <f>HYPERLINK("http://genome.ucsc.edu/cgi-bin/hgTracks?clade=vertebrate&amp;org=Zebrafish&amp;db=danRer7&amp;position=chr17:37395479-37420328","chr17:37395479-37420328")</f>
        <v>chr17:37395479-37420328</v>
      </c>
      <c r="J51" s="24" t="str">
        <f>HYPERLINK("http://www.ncbi.nlm.nih.gov/entrez/query.fcgi?db=gene&amp;cmd=Retrieve&amp;list_uids=793834","793834")</f>
        <v>793834</v>
      </c>
      <c r="K51" s="24" t="str">
        <f>HYPERLINK("http://www.ncbi.nlm.nih.gov/entrez/query.fcgi?cmd=Search&amp;db=Nucleotide&amp;term=NM_001089437","NM_001089437")</f>
        <v>NM_001089437</v>
      </c>
      <c r="L51" t="s">
        <v>84</v>
      </c>
      <c r="M51">
        <v>37395479</v>
      </c>
      <c r="N51">
        <v>37420328</v>
      </c>
      <c r="O51" t="s">
        <v>23</v>
      </c>
      <c r="P51" s="22" t="s">
        <v>1879</v>
      </c>
      <c r="Q51" s="22" t="s">
        <v>1880</v>
      </c>
      <c r="R51" s="22" t="s">
        <v>1746</v>
      </c>
      <c r="S51" s="22" t="s">
        <v>1747</v>
      </c>
      <c r="T51" s="22" t="s">
        <v>1748</v>
      </c>
      <c r="U51" s="22" t="s">
        <v>1749</v>
      </c>
    </row>
    <row r="52" spans="1:21" x14ac:dyDescent="0.15">
      <c r="A52" s="22" t="s">
        <v>1881</v>
      </c>
      <c r="B52" s="22" t="s">
        <v>1882</v>
      </c>
      <c r="C52" s="22" t="s">
        <v>1883</v>
      </c>
      <c r="D52">
        <v>3.1619999999999999</v>
      </c>
      <c r="E52">
        <v>64.2</v>
      </c>
      <c r="F52">
        <v>109.35</v>
      </c>
      <c r="G52">
        <v>40.1</v>
      </c>
      <c r="H52" s="23">
        <f t="shared" si="0"/>
        <v>0.36671239140374945</v>
      </c>
      <c r="I52" s="24" t="str">
        <f>HYPERLINK("http://genome.ucsc.edu/cgi-bin/hgTracks?clade=vertebrate&amp;org=Zebrafish&amp;db=danRer7&amp;position=chr25:25749747-25758117","chr25:25749747-25758117")</f>
        <v>chr25:25749747-25758117</v>
      </c>
      <c r="J52" s="24" t="str">
        <f>HYPERLINK("http://www.ncbi.nlm.nih.gov/entrez/query.fcgi?db=gene&amp;cmd=Retrieve&amp;list_uids=30496","30496")</f>
        <v>30496</v>
      </c>
      <c r="K52" s="24" t="str">
        <f>HYPERLINK("http://www.ncbi.nlm.nih.gov/entrez/query.fcgi?cmd=Search&amp;db=Nucleotide&amp;term=NM_131246","NM_131246")</f>
        <v>NM_131246</v>
      </c>
      <c r="L52" t="s">
        <v>60</v>
      </c>
      <c r="M52">
        <v>25749747</v>
      </c>
      <c r="N52">
        <v>25758117</v>
      </c>
      <c r="O52" t="s">
        <v>19</v>
      </c>
      <c r="P52" s="22" t="s">
        <v>1884</v>
      </c>
      <c r="Q52" s="22" t="s">
        <v>1885</v>
      </c>
      <c r="R52" s="22" t="s">
        <v>58</v>
      </c>
      <c r="S52" s="22" t="s">
        <v>59</v>
      </c>
      <c r="T52" s="22" t="s">
        <v>1886</v>
      </c>
      <c r="U52" s="22" t="s">
        <v>1887</v>
      </c>
    </row>
    <row r="53" spans="1:21" x14ac:dyDescent="0.15">
      <c r="A53" s="22" t="s">
        <v>1888</v>
      </c>
      <c r="B53" s="22" t="s">
        <v>1889</v>
      </c>
      <c r="C53" s="22" t="s">
        <v>1890</v>
      </c>
      <c r="D53">
        <v>1.4219999999999999</v>
      </c>
      <c r="E53">
        <v>23.18</v>
      </c>
      <c r="F53">
        <v>24.89</v>
      </c>
      <c r="G53">
        <v>9.23</v>
      </c>
      <c r="H53" s="23">
        <f t="shared" si="0"/>
        <v>0.3708316593009241</v>
      </c>
      <c r="I53" s="24" t="str">
        <f>HYPERLINK("http://genome.ucsc.edu/cgi-bin/hgTracks?clade=vertebrate&amp;org=Zebrafish&amp;db=danRer7&amp;position=chr9:23004807-23009980","chr9:23004807-23009980")</f>
        <v>chr9:23004807-23009980</v>
      </c>
      <c r="J53" s="24" t="str">
        <f>HYPERLINK("http://www.ncbi.nlm.nih.gov/entrez/query.fcgi?db=gene&amp;cmd=Retrieve&amp;list_uids=554104","554104")</f>
        <v>554104</v>
      </c>
      <c r="K53" s="24" t="str">
        <f>HYPERLINK("http://www.ncbi.nlm.nih.gov/entrez/query.fcgi?cmd=Search&amp;db=Nucleotide&amp;term=NM_001024405","NM_001024405")</f>
        <v>NM_001024405</v>
      </c>
      <c r="L53" t="s">
        <v>22</v>
      </c>
      <c r="M53">
        <v>23004807</v>
      </c>
      <c r="N53">
        <v>23009980</v>
      </c>
      <c r="O53" t="s">
        <v>19</v>
      </c>
      <c r="P53" s="22" t="s">
        <v>1891</v>
      </c>
      <c r="Q53" s="22" t="s">
        <v>1892</v>
      </c>
      <c r="R53" s="22" t="s">
        <v>137</v>
      </c>
      <c r="S53" s="22" t="s">
        <v>138</v>
      </c>
      <c r="T53" s="22" t="s">
        <v>1893</v>
      </c>
      <c r="U53" s="22" t="s">
        <v>1894</v>
      </c>
    </row>
    <row r="54" spans="1:21" x14ac:dyDescent="0.15">
      <c r="A54" s="22" t="s">
        <v>1895</v>
      </c>
      <c r="B54" s="22" t="s">
        <v>1896</v>
      </c>
      <c r="C54" s="22" t="s">
        <v>1897</v>
      </c>
      <c r="D54">
        <v>1.454</v>
      </c>
      <c r="E54">
        <v>5.8</v>
      </c>
      <c r="F54">
        <v>14.72</v>
      </c>
      <c r="G54">
        <v>5.47</v>
      </c>
      <c r="H54" s="23">
        <f t="shared" si="0"/>
        <v>0.37160326086956519</v>
      </c>
      <c r="I54" s="24" t="str">
        <f>HYPERLINK("http://genome.ucsc.edu/cgi-bin/hgTracks?clade=vertebrate&amp;org=Zebrafish&amp;db=danRer7&amp;position=chr24:3385577-3403816","chr24:3385577-3403816")</f>
        <v>chr24:3385577-3403816</v>
      </c>
      <c r="J54" s="24" t="str">
        <f>HYPERLINK("http://www.ncbi.nlm.nih.gov/entrez/query.fcgi?db=gene&amp;cmd=Retrieve&amp;list_uids=415152","415152")</f>
        <v>415152</v>
      </c>
      <c r="K54" s="24" t="str">
        <f>HYPERLINK("http://www.ncbi.nlm.nih.gov/entrez/query.fcgi?cmd=Search&amp;db=Nucleotide&amp;term=NM_001002062","NM_001002062")</f>
        <v>NM_001002062</v>
      </c>
      <c r="L54" t="s">
        <v>69</v>
      </c>
      <c r="M54">
        <v>3385577</v>
      </c>
      <c r="N54">
        <v>3403816</v>
      </c>
      <c r="O54" t="s">
        <v>23</v>
      </c>
      <c r="R54" s="22" t="s">
        <v>67</v>
      </c>
      <c r="S54" s="22" t="s">
        <v>68</v>
      </c>
      <c r="T54" s="22" t="s">
        <v>1898</v>
      </c>
      <c r="U54" s="22" t="s">
        <v>1899</v>
      </c>
    </row>
    <row r="55" spans="1:21" x14ac:dyDescent="0.15">
      <c r="A55" s="22" t="s">
        <v>1900</v>
      </c>
      <c r="B55" s="22" t="s">
        <v>1901</v>
      </c>
      <c r="C55" s="22" t="s">
        <v>1902</v>
      </c>
      <c r="D55">
        <v>1.4359999999999999</v>
      </c>
      <c r="E55">
        <v>11.49</v>
      </c>
      <c r="F55">
        <v>13.49</v>
      </c>
      <c r="G55">
        <v>5.05</v>
      </c>
      <c r="H55" s="23">
        <f t="shared" si="0"/>
        <v>0.374351371386212</v>
      </c>
      <c r="I55" s="24" t="str">
        <f>HYPERLINK("http://genome.ucsc.edu/cgi-bin/hgTracks?clade=vertebrate&amp;org=Zebrafish&amp;db=danRer7&amp;position=chr5:14510877-14517995","chr5:14510877-14517995")</f>
        <v>chr5:14510877-14517995</v>
      </c>
      <c r="J55" s="24" t="str">
        <f>HYPERLINK("http://www.ncbi.nlm.nih.gov/entrez/query.fcgi?db=gene&amp;cmd=Retrieve&amp;list_uids=445275","445275")</f>
        <v>445275</v>
      </c>
      <c r="K55" s="24" t="str">
        <f>HYPERLINK("http://www.ncbi.nlm.nih.gov/entrez/query.fcgi?cmd=Search&amp;db=Nucleotide&amp;term=NM_001003730","NM_001003730")</f>
        <v>NM_001003730</v>
      </c>
      <c r="L55" t="s">
        <v>29</v>
      </c>
      <c r="M55">
        <v>14510877</v>
      </c>
      <c r="N55">
        <v>14517995</v>
      </c>
      <c r="O55" t="s">
        <v>19</v>
      </c>
      <c r="P55" s="22" t="s">
        <v>65</v>
      </c>
      <c r="Q55" s="22" t="s">
        <v>66</v>
      </c>
      <c r="R55" s="22" t="s">
        <v>81</v>
      </c>
      <c r="S55" s="22" t="s">
        <v>82</v>
      </c>
      <c r="T55" s="22" t="s">
        <v>24</v>
      </c>
      <c r="U55" s="22" t="s">
        <v>25</v>
      </c>
    </row>
    <row r="56" spans="1:21" x14ac:dyDescent="0.15">
      <c r="A56" s="22" t="s">
        <v>1903</v>
      </c>
      <c r="B56" s="22" t="s">
        <v>1904</v>
      </c>
      <c r="C56" s="22" t="s">
        <v>1905</v>
      </c>
      <c r="D56">
        <v>2.024</v>
      </c>
      <c r="E56">
        <v>20.14</v>
      </c>
      <c r="F56">
        <v>22.37</v>
      </c>
      <c r="G56">
        <v>8.5</v>
      </c>
      <c r="H56" s="23">
        <f t="shared" si="0"/>
        <v>0.37997317836388017</v>
      </c>
      <c r="I56" s="24" t="str">
        <f>HYPERLINK("http://genome.ucsc.edu/cgi-bin/hgTracks?clade=vertebrate&amp;org=Zebrafish&amp;db=danRer7&amp;position=chr19:21283805-21305398","chr19:21283805-21305398")</f>
        <v>chr19:21283805-21305398</v>
      </c>
      <c r="J56" s="24" t="str">
        <f>HYPERLINK("http://www.ncbi.nlm.nih.gov/entrez/query.fcgi?db=gene&amp;cmd=Retrieve&amp;list_uids=327288","327288")</f>
        <v>327288</v>
      </c>
      <c r="K56" s="24" t="str">
        <f>HYPERLINK("http://www.ncbi.nlm.nih.gov/entrez/query.fcgi?cmd=Search&amp;db=Nucleotide&amp;term=NM_214704","NM_214704")</f>
        <v>NM_214704</v>
      </c>
      <c r="L56" t="s">
        <v>70</v>
      </c>
      <c r="M56">
        <v>21283805</v>
      </c>
      <c r="N56">
        <v>21305398</v>
      </c>
      <c r="O56" t="s">
        <v>23</v>
      </c>
      <c r="P56" s="22" t="s">
        <v>1906</v>
      </c>
      <c r="Q56" s="22" t="s">
        <v>1907</v>
      </c>
      <c r="R56" s="22" t="s">
        <v>67</v>
      </c>
      <c r="S56" s="22" t="s">
        <v>68</v>
      </c>
      <c r="T56" s="22" t="s">
        <v>1908</v>
      </c>
      <c r="U56" s="22" t="s">
        <v>1909</v>
      </c>
    </row>
    <row r="57" spans="1:21" x14ac:dyDescent="0.15">
      <c r="A57" s="22" t="s">
        <v>1910</v>
      </c>
      <c r="B57" s="22" t="s">
        <v>1911</v>
      </c>
      <c r="C57" s="22" t="s">
        <v>1912</v>
      </c>
      <c r="D57">
        <v>0.80400000000000005</v>
      </c>
      <c r="E57">
        <v>22.74</v>
      </c>
      <c r="F57">
        <v>13.48</v>
      </c>
      <c r="G57">
        <v>5.13</v>
      </c>
      <c r="H57" s="23">
        <f t="shared" si="0"/>
        <v>0.38056379821958453</v>
      </c>
      <c r="I57" s="24" t="str">
        <f>HYPERLINK("http://genome.ucsc.edu/cgi-bin/hgTracks?clade=vertebrate&amp;org=Zebrafish&amp;db=danRer7&amp;position=chr6:7346029-7355492","chr6:7346029-7355492")</f>
        <v>chr6:7346029-7355492</v>
      </c>
      <c r="J57" s="24" t="str">
        <f>HYPERLINK("http://www.ncbi.nlm.nih.gov/entrez/query.fcgi?db=gene&amp;cmd=Retrieve&amp;list_uids=368823","368823")</f>
        <v>368823</v>
      </c>
      <c r="K57" s="24" t="str">
        <f>HYPERLINK("http://www.ncbi.nlm.nih.gov/entrez/query.fcgi?cmd=Search&amp;db=Nucleotide&amp;term=NM_001012249","NM_001012249")</f>
        <v>NM_001012249</v>
      </c>
      <c r="L57" t="s">
        <v>46</v>
      </c>
      <c r="M57">
        <v>7346029</v>
      </c>
      <c r="N57">
        <v>7355492</v>
      </c>
      <c r="O57" t="s">
        <v>19</v>
      </c>
      <c r="P57" s="22" t="s">
        <v>1913</v>
      </c>
      <c r="Q57" s="22" t="s">
        <v>1914</v>
      </c>
      <c r="R57" s="22" t="s">
        <v>81</v>
      </c>
      <c r="S57" s="22" t="s">
        <v>82</v>
      </c>
      <c r="T57" s="22" t="s">
        <v>1915</v>
      </c>
      <c r="U57" s="22" t="s">
        <v>1916</v>
      </c>
    </row>
    <row r="58" spans="1:21" x14ac:dyDescent="0.15">
      <c r="A58" s="22" t="s">
        <v>1917</v>
      </c>
      <c r="B58" s="22" t="s">
        <v>1918</v>
      </c>
      <c r="C58" s="22" t="s">
        <v>1919</v>
      </c>
      <c r="D58">
        <v>1.0009999999999999</v>
      </c>
      <c r="E58">
        <v>48.1</v>
      </c>
      <c r="F58">
        <v>51.64</v>
      </c>
      <c r="G58">
        <v>19.66</v>
      </c>
      <c r="H58" s="23">
        <f t="shared" si="0"/>
        <v>0.38071262587141752</v>
      </c>
      <c r="I58" s="24" t="str">
        <f>HYPERLINK("http://genome.ucsc.edu/cgi-bin/hgTracks?clade=vertebrate&amp;org=Zebrafish&amp;db=danRer7&amp;position=chr8:26155115-26159952","chr8:26155115-26159952")</f>
        <v>chr8:26155115-26159952</v>
      </c>
      <c r="J58" s="24" t="str">
        <f>HYPERLINK("http://www.ncbi.nlm.nih.gov/entrez/query.fcgi?db=gene&amp;cmd=Retrieve&amp;list_uids=568744","568744")</f>
        <v>568744</v>
      </c>
      <c r="K58" s="24" t="str">
        <f>HYPERLINK("http://www.ncbi.nlm.nih.gov/entrez/query.fcgi?cmd=Search&amp;db=Nucleotide&amp;term=NM_001162851","NM_001162851")</f>
        <v>NM_001162851</v>
      </c>
      <c r="L58" t="s">
        <v>78</v>
      </c>
      <c r="M58">
        <v>26155115</v>
      </c>
      <c r="N58">
        <v>26159952</v>
      </c>
      <c r="O58" t="s">
        <v>23</v>
      </c>
      <c r="P58" s="22" t="s">
        <v>37</v>
      </c>
      <c r="Q58" s="22" t="s">
        <v>38</v>
      </c>
      <c r="R58" s="22" t="s">
        <v>67</v>
      </c>
      <c r="S58" s="22" t="s">
        <v>68</v>
      </c>
      <c r="T58" s="22" t="s">
        <v>1920</v>
      </c>
      <c r="U58" s="22" t="s">
        <v>1921</v>
      </c>
    </row>
    <row r="59" spans="1:21" x14ac:dyDescent="0.15">
      <c r="A59" s="22" t="s">
        <v>1922</v>
      </c>
      <c r="B59" s="22" t="s">
        <v>1923</v>
      </c>
      <c r="C59" s="22" t="s">
        <v>1924</v>
      </c>
      <c r="D59">
        <v>2.4820000000000002</v>
      </c>
      <c r="E59">
        <v>185.89</v>
      </c>
      <c r="F59">
        <v>359.69</v>
      </c>
      <c r="G59">
        <v>136.99</v>
      </c>
      <c r="H59" s="23">
        <f t="shared" si="0"/>
        <v>0.3808557368845395</v>
      </c>
      <c r="I59" s="24" t="str">
        <f>HYPERLINK("http://genome.ucsc.edu/cgi-bin/hgTracks?clade=vertebrate&amp;org=Zebrafish&amp;db=danRer7&amp;position=chr1:16418657-16420982","chr1:16418657-16420982")</f>
        <v>chr1:16418657-16420982</v>
      </c>
      <c r="J59" s="24" t="str">
        <f>HYPERLINK("http://www.ncbi.nlm.nih.gov/entrez/query.fcgi?db=gene&amp;cmd=Retrieve&amp;list_uids=327067","327067")</f>
        <v>327067</v>
      </c>
      <c r="K59" s="24" t="str">
        <f>HYPERLINK("http://www.ncbi.nlm.nih.gov/entrez/query.fcgi?cmd=Search&amp;db=Nucleotide&amp;term=NM_214702","NM_214702")</f>
        <v>NM_214702</v>
      </c>
      <c r="L59" t="s">
        <v>63</v>
      </c>
      <c r="M59">
        <v>16418657</v>
      </c>
      <c r="N59">
        <v>16420982</v>
      </c>
      <c r="O59" t="s">
        <v>23</v>
      </c>
      <c r="P59" s="22" t="s">
        <v>72</v>
      </c>
      <c r="Q59" s="22" t="s">
        <v>73</v>
      </c>
      <c r="R59" s="22" t="s">
        <v>1925</v>
      </c>
      <c r="S59" s="22" t="s">
        <v>1926</v>
      </c>
      <c r="T59" s="22" t="s">
        <v>1927</v>
      </c>
      <c r="U59" s="22" t="s">
        <v>1928</v>
      </c>
    </row>
    <row r="60" spans="1:21" x14ac:dyDescent="0.15">
      <c r="A60" s="22" t="s">
        <v>1929</v>
      </c>
      <c r="B60" s="22" t="s">
        <v>1930</v>
      </c>
      <c r="C60" s="22" t="s">
        <v>1931</v>
      </c>
      <c r="D60">
        <v>3.008</v>
      </c>
      <c r="E60">
        <v>10.119999999999999</v>
      </c>
      <c r="F60">
        <v>13.16</v>
      </c>
      <c r="G60">
        <v>5.0199999999999996</v>
      </c>
      <c r="H60" s="23">
        <f t="shared" si="0"/>
        <v>0.3814589665653495</v>
      </c>
      <c r="I60" s="24" t="str">
        <f>HYPERLINK("http://genome.ucsc.edu/cgi-bin/hgTracks?clade=vertebrate&amp;org=Zebrafish&amp;db=danRer7&amp;position=chr25:19441762-19443381","chr25:19441762-19443381")</f>
        <v>chr25:19441762-19443381</v>
      </c>
      <c r="J60" s="24" t="str">
        <f>HYPERLINK("http://www.ncbi.nlm.nih.gov/entrez/query.fcgi?db=gene&amp;cmd=Retrieve&amp;list_uids=100190888","100190888")</f>
        <v>100190888</v>
      </c>
      <c r="K60" s="24" t="str">
        <f>HYPERLINK("http://www.ncbi.nlm.nih.gov/entrez/query.fcgi?cmd=Search&amp;db=Nucleotide&amp;term=NM_001135573","NM_001135573")</f>
        <v>NM_001135573</v>
      </c>
      <c r="L60" t="s">
        <v>60</v>
      </c>
      <c r="M60">
        <v>19441762</v>
      </c>
      <c r="N60">
        <v>19443381</v>
      </c>
      <c r="O60" t="s">
        <v>19</v>
      </c>
    </row>
    <row r="61" spans="1:21" x14ac:dyDescent="0.15">
      <c r="A61" s="22" t="s">
        <v>1932</v>
      </c>
      <c r="B61" s="22" t="s">
        <v>1933</v>
      </c>
      <c r="C61" s="22" t="s">
        <v>1934</v>
      </c>
      <c r="D61">
        <v>2.2799999999999998</v>
      </c>
      <c r="E61">
        <v>13.73</v>
      </c>
      <c r="F61">
        <v>16.260000000000002</v>
      </c>
      <c r="G61">
        <v>6.22</v>
      </c>
      <c r="H61" s="23">
        <f t="shared" si="0"/>
        <v>0.38253382533825331</v>
      </c>
      <c r="I61" s="24" t="str">
        <f>HYPERLINK("http://genome.ucsc.edu/cgi-bin/hgTracks?clade=vertebrate&amp;org=Zebrafish&amp;db=danRer7&amp;position=chr19:11453433-11463779","chr19:11453433-11463779")</f>
        <v>chr19:11453433-11463779</v>
      </c>
      <c r="J61" s="24" t="str">
        <f>HYPERLINK("http://www.ncbi.nlm.nih.gov/entrez/query.fcgi?db=gene&amp;cmd=Retrieve&amp;list_uids=405895","405895")</f>
        <v>405895</v>
      </c>
      <c r="K61" s="24" t="str">
        <f>HYPERLINK("http://www.ncbi.nlm.nih.gov/entrez/query.fcgi?cmd=Search&amp;db=Nucleotide&amp;term=NM_212959","NM_212959")</f>
        <v>NM_212959</v>
      </c>
      <c r="L61" t="s">
        <v>70</v>
      </c>
      <c r="M61">
        <v>11453433</v>
      </c>
      <c r="N61">
        <v>11463779</v>
      </c>
      <c r="O61" t="s">
        <v>23</v>
      </c>
      <c r="P61" s="22" t="s">
        <v>1935</v>
      </c>
      <c r="Q61" s="22" t="s">
        <v>1936</v>
      </c>
      <c r="R61" s="22" t="s">
        <v>1937</v>
      </c>
      <c r="S61" s="22" t="s">
        <v>1938</v>
      </c>
      <c r="T61" s="22" t="s">
        <v>1939</v>
      </c>
      <c r="U61" s="22" t="s">
        <v>1940</v>
      </c>
    </row>
    <row r="62" spans="1:21" x14ac:dyDescent="0.15">
      <c r="A62" s="22" t="s">
        <v>1941</v>
      </c>
      <c r="B62" s="22" t="s">
        <v>1942</v>
      </c>
      <c r="C62" s="22" t="s">
        <v>1943</v>
      </c>
      <c r="D62">
        <v>5.7240000000000002</v>
      </c>
      <c r="E62">
        <v>76.53</v>
      </c>
      <c r="F62">
        <v>76.78</v>
      </c>
      <c r="G62">
        <v>29.65</v>
      </c>
      <c r="H62" s="23">
        <f t="shared" si="0"/>
        <v>0.38616827298775719</v>
      </c>
      <c r="I62" s="24" t="str">
        <f>HYPERLINK("http://genome.ucsc.edu/cgi-bin/hgTracks?clade=vertebrate&amp;org=Zebrafish&amp;db=danRer7&amp;position=chr1:50074734-50112253","chr1:50074734-50112253")</f>
        <v>chr1:50074734-50112253</v>
      </c>
      <c r="J62" s="24" t="str">
        <f>HYPERLINK("http://www.ncbi.nlm.nih.gov/entrez/query.fcgi?db=gene&amp;cmd=Retrieve&amp;list_uids=557257","557257")</f>
        <v>557257</v>
      </c>
      <c r="K62" s="24" t="str">
        <f>HYPERLINK("http://www.ncbi.nlm.nih.gov/entrez/query.fcgi?cmd=Search&amp;db=Nucleotide&amp;term=NM_001145565","NM_001145565")</f>
        <v>NM_001145565</v>
      </c>
      <c r="L62" t="s">
        <v>63</v>
      </c>
      <c r="M62">
        <v>50074734</v>
      </c>
      <c r="N62">
        <v>50112253</v>
      </c>
      <c r="O62" t="s">
        <v>23</v>
      </c>
      <c r="P62" s="22" t="s">
        <v>1944</v>
      </c>
      <c r="Q62" s="22" t="s">
        <v>1945</v>
      </c>
      <c r="R62" s="22" t="s">
        <v>1946</v>
      </c>
      <c r="S62" s="22" t="s">
        <v>1947</v>
      </c>
    </row>
    <row r="63" spans="1:21" x14ac:dyDescent="0.15">
      <c r="A63" s="22" t="s">
        <v>1948</v>
      </c>
      <c r="B63" s="22" t="s">
        <v>1949</v>
      </c>
      <c r="C63" s="22" t="s">
        <v>1950</v>
      </c>
      <c r="D63">
        <v>5.74</v>
      </c>
      <c r="E63">
        <v>75.709999999999994</v>
      </c>
      <c r="F63">
        <v>77.760000000000005</v>
      </c>
      <c r="G63">
        <v>30.13</v>
      </c>
      <c r="H63" s="23">
        <f t="shared" si="0"/>
        <v>0.3874742798353909</v>
      </c>
      <c r="I63" s="24" t="str">
        <f>HYPERLINK("http://genome.ucsc.edu/cgi-bin/hgTracks?clade=vertebrate&amp;org=Zebrafish&amp;db=danRer7&amp;position=chr4:8898745-8906072","chr4:8898745-8906072")</f>
        <v>chr4:8898745-8906072</v>
      </c>
      <c r="J63" s="24" t="str">
        <f>HYPERLINK("http://www.ncbi.nlm.nih.gov/entrez/query.fcgi?db=gene&amp;cmd=Retrieve&amp;list_uids=386590","386590")</f>
        <v>386590</v>
      </c>
      <c r="K63" s="24" t="str">
        <f>HYPERLINK("http://www.ncbi.nlm.nih.gov/entrez/query.fcgi?cmd=Search&amp;db=Nucleotide&amp;term=NM_198210","NM_198210")</f>
        <v>NM_198210</v>
      </c>
      <c r="L63" t="s">
        <v>77</v>
      </c>
      <c r="M63">
        <v>8898745</v>
      </c>
      <c r="N63">
        <v>8906072</v>
      </c>
      <c r="O63" t="s">
        <v>23</v>
      </c>
      <c r="P63" s="22" t="s">
        <v>1951</v>
      </c>
      <c r="Q63" s="22" t="s">
        <v>1952</v>
      </c>
      <c r="T63" s="22" t="s">
        <v>1953</v>
      </c>
      <c r="U63" s="22" t="s">
        <v>1954</v>
      </c>
    </row>
    <row r="64" spans="1:21" x14ac:dyDescent="0.15">
      <c r="A64" s="22" t="s">
        <v>1955</v>
      </c>
      <c r="B64" s="22" t="s">
        <v>1956</v>
      </c>
      <c r="C64" s="22" t="s">
        <v>1957</v>
      </c>
      <c r="D64">
        <v>3.2570000000000001</v>
      </c>
      <c r="E64">
        <v>10.15</v>
      </c>
      <c r="F64">
        <v>13.2</v>
      </c>
      <c r="G64">
        <v>5.18</v>
      </c>
      <c r="H64" s="23">
        <f t="shared" si="0"/>
        <v>0.3924242424242424</v>
      </c>
      <c r="I64" s="24" t="str">
        <f>HYPERLINK("http://genome.ucsc.edu/cgi-bin/hgTracks?clade=vertebrate&amp;org=Zebrafish&amp;db=danRer7&amp;position=chr15:1163682-1191313","chr15:1163682-1191313")</f>
        <v>chr15:1163682-1191313</v>
      </c>
      <c r="J64" s="24" t="str">
        <f>HYPERLINK("http://www.ncbi.nlm.nih.gov/entrez/query.fcgi?db=gene&amp;cmd=Retrieve&amp;list_uids=561840","561840")</f>
        <v>561840</v>
      </c>
      <c r="K64" s="24" t="str">
        <f>HYPERLINK("http://www.ncbi.nlm.nih.gov/entrez/query.fcgi?cmd=Search&amp;db=Nucleotide&amp;term=NM_001079994","NM_001079994")</f>
        <v>NM_001079994</v>
      </c>
      <c r="L64" t="s">
        <v>18</v>
      </c>
      <c r="M64">
        <v>1163682</v>
      </c>
      <c r="N64">
        <v>1191313</v>
      </c>
      <c r="O64" t="s">
        <v>23</v>
      </c>
      <c r="P64" s="22" t="s">
        <v>1958</v>
      </c>
      <c r="Q64" s="22" t="s">
        <v>1959</v>
      </c>
      <c r="R64" s="22" t="s">
        <v>1960</v>
      </c>
      <c r="S64" s="22" t="s">
        <v>1961</v>
      </c>
      <c r="T64" s="22" t="s">
        <v>1962</v>
      </c>
      <c r="U64" s="22" t="s">
        <v>1963</v>
      </c>
    </row>
    <row r="65" spans="1:21" x14ac:dyDescent="0.15">
      <c r="A65" s="22" t="s">
        <v>1964</v>
      </c>
      <c r="B65" s="22" t="s">
        <v>1965</v>
      </c>
      <c r="C65" s="22" t="s">
        <v>1966</v>
      </c>
      <c r="D65">
        <v>1.7809999999999999</v>
      </c>
      <c r="E65">
        <v>36.659999999999997</v>
      </c>
      <c r="F65">
        <v>45.8</v>
      </c>
      <c r="G65">
        <v>17.98</v>
      </c>
      <c r="H65" s="23">
        <f t="shared" si="0"/>
        <v>0.39257641921397385</v>
      </c>
      <c r="I65" s="24" t="str">
        <f>HYPERLINK("http://genome.ucsc.edu/cgi-bin/hgTracks?clade=vertebrate&amp;org=Zebrafish&amp;db=danRer7&amp;position=chr3:24498589-24509860","chr3:24498589-24509860")</f>
        <v>chr3:24498589-24509860</v>
      </c>
      <c r="J65" s="24" t="str">
        <f>HYPERLINK("http://www.ncbi.nlm.nih.gov/entrez/query.fcgi?db=gene&amp;cmd=Retrieve&amp;list_uids=334431","334431")</f>
        <v>334431</v>
      </c>
      <c r="K65" s="24" t="str">
        <f>HYPERLINK("http://www.ncbi.nlm.nih.gov/entrez/query.fcgi?cmd=Search&amp;db=Nucleotide&amp;term=NM_199899","NM_199899")</f>
        <v>NM_199899</v>
      </c>
      <c r="L65" t="s">
        <v>47</v>
      </c>
      <c r="M65">
        <v>24498589</v>
      </c>
      <c r="N65">
        <v>24509860</v>
      </c>
      <c r="O65" t="s">
        <v>23</v>
      </c>
      <c r="P65" s="22" t="s">
        <v>1967</v>
      </c>
      <c r="Q65" s="22" t="s">
        <v>1968</v>
      </c>
      <c r="R65" s="22" t="s">
        <v>58</v>
      </c>
      <c r="S65" s="22" t="s">
        <v>59</v>
      </c>
      <c r="T65" s="22" t="s">
        <v>1969</v>
      </c>
      <c r="U65" s="22" t="s">
        <v>1970</v>
      </c>
    </row>
    <row r="66" spans="1:21" x14ac:dyDescent="0.15">
      <c r="C66" s="22" t="s">
        <v>1971</v>
      </c>
      <c r="D66">
        <v>5.4370000000000003</v>
      </c>
      <c r="E66">
        <v>17.62</v>
      </c>
      <c r="F66">
        <v>12.62</v>
      </c>
      <c r="G66">
        <v>4.9800000000000004</v>
      </c>
      <c r="H66" s="23">
        <f t="shared" si="0"/>
        <v>0.39461172741679879</v>
      </c>
      <c r="I66" s="24" t="str">
        <f>HYPERLINK("http://genome.ucsc.edu/cgi-bin/hgTracks?clade=vertebrate&amp;org=Zebrafish&amp;db=danRer7&amp;position=chr10:34641101-34650370","chr10:34641101-34650370")</f>
        <v>chr10:34641101-34650370</v>
      </c>
      <c r="J66" s="24"/>
      <c r="K66" s="24"/>
      <c r="L66" t="s">
        <v>92</v>
      </c>
      <c r="M66">
        <v>34641101</v>
      </c>
      <c r="N66">
        <v>34650370</v>
      </c>
      <c r="O66" t="s">
        <v>1666</v>
      </c>
    </row>
    <row r="67" spans="1:21" x14ac:dyDescent="0.15">
      <c r="A67" s="22" t="s">
        <v>1972</v>
      </c>
      <c r="B67" s="22" t="s">
        <v>1973</v>
      </c>
      <c r="C67" s="22" t="s">
        <v>1974</v>
      </c>
      <c r="D67">
        <v>2.8039999999999998</v>
      </c>
      <c r="E67">
        <v>20.59</v>
      </c>
      <c r="F67">
        <v>26.92</v>
      </c>
      <c r="G67">
        <v>10.63</v>
      </c>
      <c r="H67" s="23">
        <f t="shared" ref="H67:H101" si="1">G67/F67</f>
        <v>0.39487369985141157</v>
      </c>
      <c r="I67" s="24" t="str">
        <f>HYPERLINK("http://genome.ucsc.edu/cgi-bin/hgTracks?clade=vertebrate&amp;org=Zebrafish&amp;db=danRer7&amp;position=chr25:19498569-19511895","chr25:19498569-19511895")</f>
        <v>chr25:19498569-19511895</v>
      </c>
      <c r="J67" s="24" t="str">
        <f>HYPERLINK("http://www.ncbi.nlm.nih.gov/entrez/query.fcgi?db=gene&amp;cmd=Retrieve&amp;list_uids=393111","393111")</f>
        <v>393111</v>
      </c>
      <c r="K67" s="24" t="str">
        <f>HYPERLINK("http://www.ncbi.nlm.nih.gov/entrez/query.fcgi?cmd=Search&amp;db=Nucleotide&amp;term=NM_200142","NM_200142")</f>
        <v>NM_200142</v>
      </c>
      <c r="L67" t="s">
        <v>60</v>
      </c>
      <c r="M67">
        <v>19498569</v>
      </c>
      <c r="N67">
        <v>19511895</v>
      </c>
      <c r="O67" t="s">
        <v>23</v>
      </c>
      <c r="R67" s="22" t="s">
        <v>1975</v>
      </c>
      <c r="S67" s="22" t="s">
        <v>1976</v>
      </c>
      <c r="T67" s="22" t="s">
        <v>24</v>
      </c>
      <c r="U67" s="22" t="s">
        <v>25</v>
      </c>
    </row>
    <row r="68" spans="1:21" x14ac:dyDescent="0.15">
      <c r="A68" s="22" t="s">
        <v>1977</v>
      </c>
      <c r="B68" s="22" t="s">
        <v>1977</v>
      </c>
      <c r="C68" s="22" t="s">
        <v>1978</v>
      </c>
      <c r="D68">
        <v>1.542</v>
      </c>
      <c r="E68">
        <v>15.71</v>
      </c>
      <c r="F68">
        <v>16.93</v>
      </c>
      <c r="G68">
        <v>6.73</v>
      </c>
      <c r="H68" s="23">
        <f t="shared" si="1"/>
        <v>0.39751919669226227</v>
      </c>
      <c r="I68" s="24" t="str">
        <f>HYPERLINK("http://genome.ucsc.edu/cgi-bin/hgTracks?clade=vertebrate&amp;org=Zebrafish&amp;db=danRer7&amp;position=chr13:12540691-12551136","chr13:12540691-12551136")</f>
        <v>chr13:12540691-12551136</v>
      </c>
      <c r="J68" s="24" t="str">
        <f>HYPERLINK("http://www.ncbi.nlm.nih.gov/entrez/query.fcgi?db=gene&amp;cmd=Retrieve&amp;list_uids=493617","493617")</f>
        <v>493617</v>
      </c>
      <c r="K68" s="24" t="str">
        <f>HYPERLINK("http://www.ncbi.nlm.nih.gov/entrez/query.fcgi?cmd=Search&amp;db=Nucleotide&amp;term=NM_001007777","NM_001007777")</f>
        <v>NM_001007777</v>
      </c>
      <c r="L68" t="s">
        <v>74</v>
      </c>
      <c r="M68">
        <v>12540691</v>
      </c>
      <c r="N68">
        <v>12551136</v>
      </c>
      <c r="O68" t="s">
        <v>23</v>
      </c>
      <c r="P68" s="22" t="s">
        <v>1979</v>
      </c>
      <c r="Q68" s="22" t="s">
        <v>1980</v>
      </c>
      <c r="R68" s="22" t="s">
        <v>58</v>
      </c>
      <c r="S68" s="22" t="s">
        <v>59</v>
      </c>
      <c r="T68" s="22" t="s">
        <v>1981</v>
      </c>
      <c r="U68" s="22" t="s">
        <v>1982</v>
      </c>
    </row>
    <row r="69" spans="1:21" x14ac:dyDescent="0.15">
      <c r="A69" s="22" t="s">
        <v>1983</v>
      </c>
      <c r="B69" s="22" t="s">
        <v>1984</v>
      </c>
      <c r="C69" s="22" t="s">
        <v>1985</v>
      </c>
      <c r="D69">
        <v>11.279</v>
      </c>
      <c r="E69">
        <v>83.04</v>
      </c>
      <c r="F69">
        <v>50</v>
      </c>
      <c r="G69">
        <v>19.98</v>
      </c>
      <c r="H69" s="23">
        <f t="shared" si="1"/>
        <v>0.39960000000000001</v>
      </c>
      <c r="I69" s="24" t="str">
        <f>HYPERLINK("http://genome.ucsc.edu/cgi-bin/hgTracks?clade=vertebrate&amp;org=Zebrafish&amp;db=danRer7&amp;position=chr9:43801310-43803658","chr9:43801310-43803658")</f>
        <v>chr9:43801310-43803658</v>
      </c>
      <c r="J69" s="24" t="str">
        <f>HYPERLINK("http://www.ncbi.nlm.nih.gov/entrez/query.fcgi?db=gene&amp;cmd=Retrieve&amp;list_uids=368498","368498")</f>
        <v>368498</v>
      </c>
      <c r="K69" s="24" t="str">
        <f>HYPERLINK("http://www.ncbi.nlm.nih.gov/entrez/query.fcgi?cmd=Search&amp;db=Nucleotide&amp;term=NM_001004506","NM_001004506")</f>
        <v>NM_001004506</v>
      </c>
      <c r="L69" t="s">
        <v>22</v>
      </c>
      <c r="M69">
        <v>43801310</v>
      </c>
      <c r="N69">
        <v>43803658</v>
      </c>
      <c r="O69" t="s">
        <v>19</v>
      </c>
      <c r="P69" s="22" t="s">
        <v>1986</v>
      </c>
      <c r="Q69" s="22" t="s">
        <v>1987</v>
      </c>
      <c r="R69" s="22" t="s">
        <v>1988</v>
      </c>
      <c r="S69" s="22" t="s">
        <v>1989</v>
      </c>
      <c r="T69" s="22" t="s">
        <v>1990</v>
      </c>
      <c r="U69" s="22" t="s">
        <v>1991</v>
      </c>
    </row>
    <row r="70" spans="1:21" x14ac:dyDescent="0.15">
      <c r="A70" s="22" t="s">
        <v>1992</v>
      </c>
      <c r="B70" s="22" t="s">
        <v>1993</v>
      </c>
      <c r="C70" s="22" t="s">
        <v>1994</v>
      </c>
      <c r="D70">
        <v>1.7809999999999999</v>
      </c>
      <c r="E70">
        <v>158.6</v>
      </c>
      <c r="F70">
        <v>94.58</v>
      </c>
      <c r="G70">
        <v>37.92</v>
      </c>
      <c r="H70" s="23">
        <f t="shared" si="1"/>
        <v>0.40093042926622968</v>
      </c>
      <c r="I70" s="24" t="str">
        <f>HYPERLINK("http://genome.ucsc.edu/cgi-bin/hgTracks?clade=vertebrate&amp;org=Zebrafish&amp;db=danRer7&amp;position=chr3:32673895-32677998","chr3:32673895-32677998")</f>
        <v>chr3:32673895-32677998</v>
      </c>
      <c r="J70" s="24" t="str">
        <f>HYPERLINK("http://www.ncbi.nlm.nih.gov/entrez/query.fcgi?db=gene&amp;cmd=Retrieve&amp;list_uids=415248","415248")</f>
        <v>415248</v>
      </c>
      <c r="K70" s="24" t="str">
        <f>HYPERLINK("http://www.ncbi.nlm.nih.gov/entrez/query.fcgi?cmd=Search&amp;db=Nucleotide&amp;term=NM_001002158","NM_001002158")</f>
        <v>NM_001002158</v>
      </c>
      <c r="L70" t="s">
        <v>47</v>
      </c>
      <c r="M70">
        <v>32673895</v>
      </c>
      <c r="N70">
        <v>32677998</v>
      </c>
      <c r="O70" t="s">
        <v>19</v>
      </c>
      <c r="T70" s="22" t="s">
        <v>169</v>
      </c>
      <c r="U70" s="22" t="s">
        <v>170</v>
      </c>
    </row>
    <row r="71" spans="1:21" x14ac:dyDescent="0.15">
      <c r="A71" s="22" t="s">
        <v>1995</v>
      </c>
      <c r="B71" s="22" t="s">
        <v>1996</v>
      </c>
      <c r="C71" s="22" t="s">
        <v>1997</v>
      </c>
      <c r="D71">
        <v>3.4340000000000002</v>
      </c>
      <c r="E71">
        <v>9.68</v>
      </c>
      <c r="F71">
        <v>12.17</v>
      </c>
      <c r="G71">
        <v>4.88</v>
      </c>
      <c r="H71" s="23">
        <f t="shared" si="1"/>
        <v>0.40098603122432208</v>
      </c>
      <c r="I71" s="24" t="str">
        <f>HYPERLINK("http://genome.ucsc.edu/cgi-bin/hgTracks?clade=vertebrate&amp;org=Zebrafish&amp;db=danRer7&amp;position=chr6:52177501-52185731","chr6:52177501-52185731")</f>
        <v>chr6:52177501-52185731</v>
      </c>
      <c r="J71" s="24" t="str">
        <f>HYPERLINK("http://www.ncbi.nlm.nih.gov/entrez/query.fcgi?db=gene&amp;cmd=Retrieve&amp;list_uids=323361","323361")</f>
        <v>323361</v>
      </c>
      <c r="K71" s="24" t="str">
        <f>HYPERLINK("http://www.ncbi.nlm.nih.gov/entrez/query.fcgi?cmd=Search&amp;db=Nucleotide&amp;term=NM_199638","NM_199638")</f>
        <v>NM_199638</v>
      </c>
      <c r="L71" t="s">
        <v>46</v>
      </c>
      <c r="M71">
        <v>52177501</v>
      </c>
      <c r="N71">
        <v>52185731</v>
      </c>
      <c r="O71" t="s">
        <v>19</v>
      </c>
      <c r="T71" s="22" t="s">
        <v>171</v>
      </c>
      <c r="U71" s="22" t="s">
        <v>172</v>
      </c>
    </row>
    <row r="72" spans="1:21" x14ac:dyDescent="0.15">
      <c r="A72" s="22" t="s">
        <v>1998</v>
      </c>
      <c r="B72" s="22" t="s">
        <v>1999</v>
      </c>
      <c r="C72" s="22" t="s">
        <v>2000</v>
      </c>
      <c r="D72">
        <v>2.5510000000000002</v>
      </c>
      <c r="E72">
        <v>13.04</v>
      </c>
      <c r="F72">
        <v>16.239999999999998</v>
      </c>
      <c r="G72">
        <v>6.54</v>
      </c>
      <c r="H72" s="23">
        <f t="shared" si="1"/>
        <v>0.40270935960591137</v>
      </c>
      <c r="I72" s="24" t="str">
        <f>HYPERLINK("http://genome.ucsc.edu/cgi-bin/hgTracks?clade=vertebrate&amp;org=Zebrafish&amp;db=danRer7&amp;position=chr8:31856329-31861706","chr8:31856329-31861706")</f>
        <v>chr8:31856329-31861706</v>
      </c>
      <c r="J72" s="24" t="str">
        <f>HYPERLINK("http://www.ncbi.nlm.nih.gov/entrez/query.fcgi?db=gene&amp;cmd=Retrieve&amp;list_uids=799964","799964")</f>
        <v>799964</v>
      </c>
      <c r="K72" s="24" t="str">
        <f>HYPERLINK("http://www.ncbi.nlm.nih.gov/entrez/query.fcgi?cmd=Search&amp;db=Nucleotide&amp;term=NM_200280","NM_200280")</f>
        <v>NM_200280</v>
      </c>
      <c r="L72" t="s">
        <v>78</v>
      </c>
      <c r="M72">
        <v>31856329</v>
      </c>
      <c r="N72">
        <v>31861706</v>
      </c>
      <c r="O72" t="s">
        <v>23</v>
      </c>
      <c r="P72" s="22" t="s">
        <v>2001</v>
      </c>
      <c r="Q72" s="22" t="s">
        <v>2002</v>
      </c>
      <c r="R72" s="22" t="s">
        <v>75</v>
      </c>
      <c r="S72" s="22" t="s">
        <v>76</v>
      </c>
      <c r="T72" s="22" t="s">
        <v>2003</v>
      </c>
      <c r="U72" s="22" t="s">
        <v>2004</v>
      </c>
    </row>
    <row r="73" spans="1:21" x14ac:dyDescent="0.15">
      <c r="A73" s="22" t="s">
        <v>2005</v>
      </c>
      <c r="B73" s="22" t="s">
        <v>2006</v>
      </c>
      <c r="C73" s="22" t="s">
        <v>2007</v>
      </c>
      <c r="D73">
        <v>2.1240000000000001</v>
      </c>
      <c r="E73">
        <v>30</v>
      </c>
      <c r="F73">
        <v>19.190000000000001</v>
      </c>
      <c r="G73">
        <v>7.77</v>
      </c>
      <c r="H73" s="23">
        <f t="shared" si="1"/>
        <v>0.40489838457529959</v>
      </c>
      <c r="I73" s="24" t="str">
        <f>HYPERLINK("http://genome.ucsc.edu/cgi-bin/hgTracks?clade=vertebrate&amp;org=Zebrafish&amp;db=danRer7&amp;position=chr17:52270231-52283858","chr17:52270231-52283858")</f>
        <v>chr17:52270231-52283858</v>
      </c>
      <c r="J73" s="24" t="str">
        <f>HYPERLINK("http://www.ncbi.nlm.nih.gov/entrez/query.fcgi?db=gene&amp;cmd=Retrieve&amp;list_uids=114426","114426")</f>
        <v>114426</v>
      </c>
      <c r="K73" s="24" t="str">
        <f>HYPERLINK("http://www.ncbi.nlm.nih.gov/entrez/query.fcgi?cmd=Search&amp;db=Nucleotide&amp;term=NM_131801","NM_131801")</f>
        <v>NM_131801</v>
      </c>
      <c r="L73" t="s">
        <v>84</v>
      </c>
      <c r="M73">
        <v>52270231</v>
      </c>
      <c r="N73">
        <v>52283858</v>
      </c>
      <c r="O73" t="s">
        <v>23</v>
      </c>
      <c r="P73" s="22" t="s">
        <v>2008</v>
      </c>
      <c r="Q73" s="22" t="s">
        <v>2009</v>
      </c>
      <c r="T73" s="22" t="s">
        <v>113</v>
      </c>
      <c r="U73" s="22" t="s">
        <v>114</v>
      </c>
    </row>
    <row r="74" spans="1:21" x14ac:dyDescent="0.15">
      <c r="A74" s="22" t="s">
        <v>2010</v>
      </c>
      <c r="B74" s="22" t="s">
        <v>2011</v>
      </c>
      <c r="C74" s="22" t="s">
        <v>2012</v>
      </c>
      <c r="D74">
        <v>2.327</v>
      </c>
      <c r="E74">
        <v>36.01</v>
      </c>
      <c r="F74">
        <v>29.45</v>
      </c>
      <c r="G74">
        <v>11.94</v>
      </c>
      <c r="H74" s="23">
        <f t="shared" si="1"/>
        <v>0.40543293718166384</v>
      </c>
      <c r="I74" s="24" t="str">
        <f>HYPERLINK("http://genome.ucsc.edu/cgi-bin/hgTracks?clade=vertebrate&amp;org=Zebrafish&amp;db=danRer7&amp;position=chr12:790452-842907","chr12:790452-842907")</f>
        <v>chr12:790452-842907</v>
      </c>
      <c r="J74" s="24" t="str">
        <f>HYPERLINK("http://www.ncbi.nlm.nih.gov/entrez/query.fcgi?db=gene&amp;cmd=Retrieve&amp;list_uids=338214","338214")</f>
        <v>338214</v>
      </c>
      <c r="K74" s="24" t="str">
        <f>HYPERLINK("http://www.ncbi.nlm.nih.gov/entrez/query.fcgi?cmd=Search&amp;db=Nucleotide&amp;term=NM_198914","NM_198914")</f>
        <v>NM_198914</v>
      </c>
      <c r="L74" t="s">
        <v>57</v>
      </c>
      <c r="M74">
        <v>790452</v>
      </c>
      <c r="N74">
        <v>842907</v>
      </c>
      <c r="O74" t="s">
        <v>19</v>
      </c>
      <c r="P74" s="22" t="s">
        <v>37</v>
      </c>
      <c r="Q74" s="22" t="s">
        <v>38</v>
      </c>
      <c r="T74" s="22" t="s">
        <v>2013</v>
      </c>
      <c r="U74" s="22" t="s">
        <v>2014</v>
      </c>
    </row>
    <row r="75" spans="1:21" x14ac:dyDescent="0.15">
      <c r="A75" s="22" t="s">
        <v>2015</v>
      </c>
      <c r="B75" s="22" t="s">
        <v>2016</v>
      </c>
      <c r="C75" s="22" t="s">
        <v>2017</v>
      </c>
      <c r="D75">
        <v>1.992</v>
      </c>
      <c r="E75">
        <v>39.200000000000003</v>
      </c>
      <c r="F75">
        <v>49.68</v>
      </c>
      <c r="G75">
        <v>20.239999999999998</v>
      </c>
      <c r="H75" s="23">
        <f t="shared" si="1"/>
        <v>0.40740740740740738</v>
      </c>
      <c r="I75" s="24" t="str">
        <f>HYPERLINK("http://genome.ucsc.edu/cgi-bin/hgTracks?clade=vertebrate&amp;org=Zebrafish&amp;db=danRer7&amp;position=chr2:26618241-26624291","chr2:26618241-26624291")</f>
        <v>chr2:26618241-26624291</v>
      </c>
      <c r="J75" s="24" t="str">
        <f>HYPERLINK("http://www.ncbi.nlm.nih.gov/entrez/query.fcgi?db=gene&amp;cmd=Retrieve&amp;list_uids=406283","406283")</f>
        <v>406283</v>
      </c>
      <c r="K75" s="24" t="str">
        <f>HYPERLINK("http://www.ncbi.nlm.nih.gov/entrez/query.fcgi?cmd=Search&amp;db=Nucleotide&amp;term=NM_213089, NM_213010","NM_213089, NM_213010")</f>
        <v>NM_213089, NM_213010</v>
      </c>
      <c r="L75" t="s">
        <v>79</v>
      </c>
      <c r="M75">
        <v>26618241</v>
      </c>
      <c r="N75">
        <v>26624291</v>
      </c>
      <c r="O75" t="s">
        <v>19</v>
      </c>
      <c r="P75" s="22" t="s">
        <v>2018</v>
      </c>
      <c r="Q75" s="22" t="s">
        <v>2019</v>
      </c>
      <c r="T75" s="22" t="s">
        <v>2020</v>
      </c>
      <c r="U75" s="22" t="s">
        <v>2021</v>
      </c>
    </row>
    <row r="76" spans="1:21" x14ac:dyDescent="0.15">
      <c r="A76" s="22" t="s">
        <v>2022</v>
      </c>
      <c r="B76" s="22" t="s">
        <v>2023</v>
      </c>
      <c r="C76" s="22" t="s">
        <v>2024</v>
      </c>
      <c r="D76">
        <v>1.639</v>
      </c>
      <c r="E76">
        <v>20</v>
      </c>
      <c r="F76">
        <v>38.86</v>
      </c>
      <c r="G76">
        <v>15.86</v>
      </c>
      <c r="H76" s="23">
        <f t="shared" si="1"/>
        <v>0.40813175501801335</v>
      </c>
      <c r="I76" s="24" t="str">
        <f>HYPERLINK("http://genome.ucsc.edu/cgi-bin/hgTracks?clade=vertebrate&amp;org=Zebrafish&amp;db=danRer7&amp;position=chr15:9146209-9167312","chr15:9146209-9167312")</f>
        <v>chr15:9146209-9167312</v>
      </c>
      <c r="J76" s="24" t="str">
        <f>HYPERLINK("http://www.ncbi.nlm.nih.gov/entrez/query.fcgi?db=gene&amp;cmd=Retrieve&amp;list_uids=569502","569502")</f>
        <v>569502</v>
      </c>
      <c r="K76" s="24" t="str">
        <f>HYPERLINK("http://www.ncbi.nlm.nih.gov/entrez/query.fcgi?cmd=Search&amp;db=Nucleotide&amp;term=NM_001029965","NM_001029965")</f>
        <v>NM_001029965</v>
      </c>
      <c r="L76" t="s">
        <v>18</v>
      </c>
      <c r="M76">
        <v>9146209</v>
      </c>
      <c r="N76">
        <v>9167312</v>
      </c>
      <c r="O76" t="s">
        <v>19</v>
      </c>
      <c r="P76" s="22" t="s">
        <v>65</v>
      </c>
      <c r="Q76" s="22" t="s">
        <v>66</v>
      </c>
      <c r="R76" s="22" t="s">
        <v>1785</v>
      </c>
      <c r="S76" s="22" t="s">
        <v>1786</v>
      </c>
      <c r="T76" s="22" t="s">
        <v>24</v>
      </c>
      <c r="U76" s="22" t="s">
        <v>25</v>
      </c>
    </row>
    <row r="77" spans="1:21" x14ac:dyDescent="0.15">
      <c r="A77" s="22" t="s">
        <v>2025</v>
      </c>
      <c r="B77" s="22" t="s">
        <v>2026</v>
      </c>
      <c r="C77" s="22" t="s">
        <v>2027</v>
      </c>
      <c r="D77">
        <v>3.3540000000000001</v>
      </c>
      <c r="E77">
        <v>50</v>
      </c>
      <c r="F77">
        <v>57.55</v>
      </c>
      <c r="G77">
        <v>23.59</v>
      </c>
      <c r="H77" s="23">
        <f t="shared" si="1"/>
        <v>0.40990443092962642</v>
      </c>
      <c r="I77" s="24" t="str">
        <f>HYPERLINK("http://genome.ucsc.edu/cgi-bin/hgTracks?clade=vertebrate&amp;org=Zebrafish&amp;db=danRer7&amp;position=chr1:50416755-50425950","chr1:50416755-50425950")</f>
        <v>chr1:50416755-50425950</v>
      </c>
      <c r="J77" s="24" t="str">
        <f>HYPERLINK("http://www.ncbi.nlm.nih.gov/entrez/query.fcgi?db=gene&amp;cmd=Retrieve&amp;list_uids=445121","445121")</f>
        <v>445121</v>
      </c>
      <c r="K77" s="24" t="str">
        <f>HYPERLINK("http://www.ncbi.nlm.nih.gov/entrez/query.fcgi?cmd=Search&amp;db=Nucleotide&amp;term=NM_001003515","NM_001003515")</f>
        <v>NM_001003515</v>
      </c>
      <c r="L77" t="s">
        <v>63</v>
      </c>
      <c r="M77">
        <v>50416755</v>
      </c>
      <c r="N77">
        <v>50425950</v>
      </c>
      <c r="O77" t="s">
        <v>19</v>
      </c>
      <c r="P77" s="22" t="s">
        <v>2028</v>
      </c>
      <c r="Q77" s="22" t="s">
        <v>2029</v>
      </c>
      <c r="T77" s="22" t="s">
        <v>2030</v>
      </c>
      <c r="U77" s="22" t="s">
        <v>2031</v>
      </c>
    </row>
    <row r="78" spans="1:21" x14ac:dyDescent="0.15">
      <c r="A78" s="22" t="s">
        <v>2032</v>
      </c>
      <c r="B78" s="22" t="s">
        <v>2033</v>
      </c>
      <c r="C78" s="22" t="s">
        <v>2034</v>
      </c>
      <c r="D78">
        <v>7.101</v>
      </c>
      <c r="E78">
        <v>319.20999999999998</v>
      </c>
      <c r="F78">
        <v>524.66999999999996</v>
      </c>
      <c r="G78">
        <v>215.68</v>
      </c>
      <c r="H78" s="23">
        <f t="shared" si="1"/>
        <v>0.41107743915222905</v>
      </c>
      <c r="I78" s="24" t="str">
        <f>HYPERLINK("http://genome.ucsc.edu/cgi-bin/hgTracks?clade=vertebrate&amp;org=Zebrafish&amp;db=danRer7&amp;position=chr5:33936239-33946746","chr5:33936239-33946746")</f>
        <v>chr5:33936239-33946746</v>
      </c>
      <c r="J78" s="24" t="str">
        <f>HYPERLINK("http://www.ncbi.nlm.nih.gov/entrez/query.fcgi?db=gene&amp;cmd=Retrieve&amp;list_uids=58142","58142")</f>
        <v>58142</v>
      </c>
      <c r="K78" s="24" t="str">
        <f>HYPERLINK("http://www.ncbi.nlm.nih.gov/entrez/query.fcgi?cmd=Search&amp;db=Nucleotide&amp;term=NM_001130666, NM_001115089","NM_001130666, NM_001115089")</f>
        <v>NM_001130666, NM_001115089</v>
      </c>
      <c r="L78" t="s">
        <v>29</v>
      </c>
      <c r="M78">
        <v>33936239</v>
      </c>
      <c r="N78">
        <v>33946746</v>
      </c>
      <c r="O78" t="s">
        <v>19</v>
      </c>
      <c r="P78" s="22" t="s">
        <v>2035</v>
      </c>
      <c r="Q78" s="22" t="s">
        <v>2036</v>
      </c>
      <c r="R78" s="22" t="s">
        <v>2037</v>
      </c>
      <c r="S78" s="22" t="s">
        <v>2038</v>
      </c>
      <c r="T78" s="22" t="s">
        <v>2039</v>
      </c>
      <c r="U78" s="22" t="s">
        <v>2040</v>
      </c>
    </row>
    <row r="79" spans="1:21" x14ac:dyDescent="0.15">
      <c r="A79" s="22" t="s">
        <v>2041</v>
      </c>
      <c r="B79" s="22" t="s">
        <v>2042</v>
      </c>
      <c r="C79" s="22" t="s">
        <v>2043</v>
      </c>
      <c r="D79">
        <v>1.8220000000000001</v>
      </c>
      <c r="E79">
        <v>17.96</v>
      </c>
      <c r="F79">
        <v>12.51</v>
      </c>
      <c r="G79">
        <v>5.15</v>
      </c>
      <c r="H79" s="23">
        <f t="shared" si="1"/>
        <v>0.41167066346922465</v>
      </c>
      <c r="I79" s="24" t="str">
        <f>HYPERLINK("http://genome.ucsc.edu/cgi-bin/hgTracks?clade=vertebrate&amp;org=Zebrafish&amp;db=danRer7&amp;position=chr7:75223009-75229204","chr7:75223009-75229204")</f>
        <v>chr7:75223009-75229204</v>
      </c>
      <c r="J79" s="24" t="str">
        <f>HYPERLINK("http://www.ncbi.nlm.nih.gov/entrez/query.fcgi?db=gene&amp;cmd=Retrieve&amp;list_uids=81540","81540")</f>
        <v>81540</v>
      </c>
      <c r="K79" s="24" t="str">
        <f>HYPERLINK("http://www.ncbi.nlm.nih.gov/entrez/query.fcgi?cmd=Search&amp;db=Nucleotide&amp;term=NM_131760","NM_131760")</f>
        <v>NM_131760</v>
      </c>
      <c r="L79" t="s">
        <v>85</v>
      </c>
      <c r="M79">
        <v>75223009</v>
      </c>
      <c r="N79">
        <v>75229204</v>
      </c>
      <c r="O79" t="s">
        <v>23</v>
      </c>
      <c r="P79" s="22" t="s">
        <v>2044</v>
      </c>
      <c r="Q79" s="22" t="s">
        <v>2045</v>
      </c>
      <c r="T79" s="22" t="s">
        <v>2046</v>
      </c>
      <c r="U79" s="22" t="s">
        <v>2047</v>
      </c>
    </row>
    <row r="80" spans="1:21" x14ac:dyDescent="0.15">
      <c r="A80" s="22" t="s">
        <v>2048</v>
      </c>
      <c r="B80" s="22" t="s">
        <v>2049</v>
      </c>
      <c r="C80" s="22" t="s">
        <v>2050</v>
      </c>
      <c r="D80">
        <v>2.0939999999999999</v>
      </c>
      <c r="E80">
        <v>31.08</v>
      </c>
      <c r="F80">
        <v>34.659999999999997</v>
      </c>
      <c r="G80">
        <v>14.31</v>
      </c>
      <c r="H80" s="23">
        <f t="shared" si="1"/>
        <v>0.41286785920369307</v>
      </c>
      <c r="I80" s="24" t="str">
        <f>HYPERLINK("http://genome.ucsc.edu/cgi-bin/hgTracks?clade=vertebrate&amp;org=Zebrafish&amp;db=danRer7&amp;position=chr12:47919624-47945568","chr12:47919624-47945568")</f>
        <v>chr12:47919624-47945568</v>
      </c>
      <c r="J80" s="24" t="str">
        <f>HYPERLINK("http://www.ncbi.nlm.nih.gov/entrez/query.fcgi?db=gene&amp;cmd=Retrieve&amp;list_uids=322229","322229")</f>
        <v>322229</v>
      </c>
      <c r="K80" s="24" t="str">
        <f>HYPERLINK("http://www.ncbi.nlm.nih.gov/entrez/query.fcgi?cmd=Search&amp;db=Nucleotide&amp;term=NM_198802","NM_198802")</f>
        <v>NM_198802</v>
      </c>
      <c r="L80" t="s">
        <v>57</v>
      </c>
      <c r="M80">
        <v>47919624</v>
      </c>
      <c r="N80">
        <v>47945568</v>
      </c>
      <c r="O80" t="s">
        <v>23</v>
      </c>
      <c r="P80" s="22" t="s">
        <v>2051</v>
      </c>
      <c r="Q80" s="22" t="s">
        <v>2052</v>
      </c>
      <c r="T80" s="22" t="s">
        <v>2053</v>
      </c>
      <c r="U80" s="22" t="s">
        <v>2054</v>
      </c>
    </row>
    <row r="81" spans="1:21" x14ac:dyDescent="0.15">
      <c r="A81" s="22" t="s">
        <v>2055</v>
      </c>
      <c r="B81" s="22" t="s">
        <v>2056</v>
      </c>
      <c r="C81" s="22" t="s">
        <v>2057</v>
      </c>
      <c r="D81">
        <v>2.8130000000000002</v>
      </c>
      <c r="E81">
        <v>31.7</v>
      </c>
      <c r="F81">
        <v>32.44</v>
      </c>
      <c r="G81">
        <v>13.5</v>
      </c>
      <c r="H81" s="23">
        <f t="shared" si="1"/>
        <v>0.41615289765721336</v>
      </c>
      <c r="I81" s="24" t="str">
        <f>HYPERLINK("http://genome.ucsc.edu/cgi-bin/hgTracks?clade=vertebrate&amp;org=Zebrafish&amp;db=danRer7&amp;position=chr24:17883870-17890562","chr24:17883870-17890562")</f>
        <v>chr24:17883870-17890562</v>
      </c>
      <c r="J81" s="24" t="str">
        <f>HYPERLINK("http://www.ncbi.nlm.nih.gov/entrez/query.fcgi?db=gene&amp;cmd=Retrieve&amp;list_uids=554998","554998")</f>
        <v>554998</v>
      </c>
      <c r="K81" s="24" t="str">
        <f>HYPERLINK("http://www.ncbi.nlm.nih.gov/entrez/query.fcgi?cmd=Search&amp;db=Nucleotide&amp;term=NM_199779","NM_199779")</f>
        <v>NM_199779</v>
      </c>
      <c r="L81" t="s">
        <v>69</v>
      </c>
      <c r="M81">
        <v>17883870</v>
      </c>
      <c r="N81">
        <v>17890562</v>
      </c>
      <c r="O81" t="s">
        <v>23</v>
      </c>
      <c r="P81" s="22" t="s">
        <v>1803</v>
      </c>
      <c r="Q81" s="22" t="s">
        <v>1804</v>
      </c>
      <c r="R81" s="22" t="s">
        <v>620</v>
      </c>
      <c r="S81" s="22" t="s">
        <v>621</v>
      </c>
      <c r="T81" s="22" t="s">
        <v>2058</v>
      </c>
      <c r="U81" s="22" t="s">
        <v>2059</v>
      </c>
    </row>
    <row r="82" spans="1:21" x14ac:dyDescent="0.15">
      <c r="A82" s="22" t="s">
        <v>2060</v>
      </c>
      <c r="B82" s="22" t="s">
        <v>2061</v>
      </c>
      <c r="C82" s="22" t="s">
        <v>2062</v>
      </c>
      <c r="D82">
        <v>1.599</v>
      </c>
      <c r="E82">
        <v>17.77</v>
      </c>
      <c r="F82">
        <v>19.36</v>
      </c>
      <c r="G82">
        <v>8.06</v>
      </c>
      <c r="H82" s="23">
        <f t="shared" si="1"/>
        <v>0.41632231404958681</v>
      </c>
      <c r="I82" s="24" t="str">
        <f>HYPERLINK("http://genome.ucsc.edu/cgi-bin/hgTracks?clade=vertebrate&amp;org=Zebrafish&amp;db=danRer7&amp;position=chr22:203830-208140","chr22:203830-208140")</f>
        <v>chr22:203830-208140</v>
      </c>
      <c r="J82" s="24" t="str">
        <f>HYPERLINK("http://www.ncbi.nlm.nih.gov/entrez/query.fcgi?db=gene&amp;cmd=Retrieve&amp;list_uids=393833","393833")</f>
        <v>393833</v>
      </c>
      <c r="K82" s="24" t="str">
        <f>HYPERLINK("http://www.ncbi.nlm.nih.gov/entrez/query.fcgi?cmd=Search&amp;db=Nucleotide&amp;term=NM_200859","NM_200859")</f>
        <v>NM_200859</v>
      </c>
      <c r="L82" t="s">
        <v>103</v>
      </c>
      <c r="M82">
        <v>203830</v>
      </c>
      <c r="N82">
        <v>208140</v>
      </c>
      <c r="O82" t="s">
        <v>19</v>
      </c>
      <c r="P82" s="22" t="s">
        <v>99</v>
      </c>
      <c r="Q82" s="22" t="s">
        <v>100</v>
      </c>
      <c r="R82" s="22" t="s">
        <v>75</v>
      </c>
      <c r="S82" s="22" t="s">
        <v>76</v>
      </c>
    </row>
    <row r="83" spans="1:21" x14ac:dyDescent="0.15">
      <c r="A83" s="22" t="s">
        <v>2063</v>
      </c>
      <c r="B83" s="22" t="s">
        <v>2064</v>
      </c>
      <c r="C83" s="22" t="s">
        <v>2065</v>
      </c>
      <c r="D83">
        <v>4.7119999999999997</v>
      </c>
      <c r="E83">
        <v>23.29</v>
      </c>
      <c r="F83">
        <v>16.38</v>
      </c>
      <c r="G83">
        <v>6.82</v>
      </c>
      <c r="H83" s="23">
        <f t="shared" si="1"/>
        <v>0.41636141636141638</v>
      </c>
      <c r="I83" s="24" t="str">
        <f>HYPERLINK("http://genome.ucsc.edu/cgi-bin/hgTracks?clade=vertebrate&amp;org=Zebrafish&amp;db=danRer7&amp;position=chr15:23076175-23092649","chr15:23076175-23092649")</f>
        <v>chr15:23076175-23092649</v>
      </c>
      <c r="J83" s="24" t="str">
        <f>HYPERLINK("http://www.ncbi.nlm.nih.gov/entrez/query.fcgi?db=gene&amp;cmd=Retrieve&amp;list_uids=415148","415148")</f>
        <v>415148</v>
      </c>
      <c r="K83" s="24" t="str">
        <f>HYPERLINK("http://www.ncbi.nlm.nih.gov/entrez/query.fcgi?cmd=Search&amp;db=Nucleotide&amp;term=NM_001002058","NM_001002058")</f>
        <v>NM_001002058</v>
      </c>
      <c r="L83" t="s">
        <v>18</v>
      </c>
      <c r="M83">
        <v>23076175</v>
      </c>
      <c r="N83">
        <v>23092649</v>
      </c>
      <c r="O83" t="s">
        <v>23</v>
      </c>
      <c r="P83" s="22" t="s">
        <v>2066</v>
      </c>
      <c r="Q83" s="22" t="s">
        <v>2067</v>
      </c>
      <c r="R83" s="22" t="s">
        <v>61</v>
      </c>
      <c r="S83" s="22" t="s">
        <v>62</v>
      </c>
      <c r="T83" s="22" t="s">
        <v>2068</v>
      </c>
      <c r="U83" s="22" t="s">
        <v>2069</v>
      </c>
    </row>
    <row r="84" spans="1:21" x14ac:dyDescent="0.15">
      <c r="A84" s="22" t="s">
        <v>2070</v>
      </c>
      <c r="B84" s="22" t="s">
        <v>2070</v>
      </c>
      <c r="C84" s="22" t="s">
        <v>2071</v>
      </c>
      <c r="D84">
        <v>2.407</v>
      </c>
      <c r="E84">
        <v>26</v>
      </c>
      <c r="F84">
        <v>27.22</v>
      </c>
      <c r="G84">
        <v>11.35</v>
      </c>
      <c r="H84" s="23">
        <f t="shared" si="1"/>
        <v>0.41697281410727405</v>
      </c>
      <c r="I84" s="24" t="str">
        <f>HYPERLINK("http://genome.ucsc.edu/cgi-bin/hgTracks?clade=vertebrate&amp;org=Zebrafish&amp;db=danRer7&amp;position=chr2:9361511-9370252","chr2:9361511-9370252")</f>
        <v>chr2:9361511-9370252</v>
      </c>
      <c r="J84" s="24" t="str">
        <f>HYPERLINK("http://www.ncbi.nlm.nih.gov/entrez/query.fcgi?db=gene&amp;cmd=Retrieve&amp;list_uids=324900","324900")</f>
        <v>324900</v>
      </c>
      <c r="K84" s="24" t="str">
        <f>HYPERLINK("http://www.ncbi.nlm.nih.gov/entrez/query.fcgi?cmd=Search&amp;db=Nucleotide&amp;term=NM_001020824","NM_001020824")</f>
        <v>NM_001020824</v>
      </c>
      <c r="L84" t="s">
        <v>79</v>
      </c>
      <c r="M84">
        <v>9361511</v>
      </c>
      <c r="N84">
        <v>9370252</v>
      </c>
      <c r="O84" t="s">
        <v>23</v>
      </c>
      <c r="P84" s="22" t="s">
        <v>2072</v>
      </c>
      <c r="Q84" s="22" t="s">
        <v>2073</v>
      </c>
    </row>
    <row r="85" spans="1:21" x14ac:dyDescent="0.15">
      <c r="A85" s="22" t="s">
        <v>2074</v>
      </c>
      <c r="B85" s="22" t="s">
        <v>2075</v>
      </c>
      <c r="C85" s="22" t="s">
        <v>2076</v>
      </c>
      <c r="D85">
        <v>3.7559999999999998</v>
      </c>
      <c r="E85">
        <v>17.940000000000001</v>
      </c>
      <c r="F85">
        <v>18.989999999999998</v>
      </c>
      <c r="G85">
        <v>7.94</v>
      </c>
      <c r="H85" s="23">
        <f t="shared" si="1"/>
        <v>0.41811479726171674</v>
      </c>
      <c r="I85" s="24" t="str">
        <f>HYPERLINK("http://genome.ucsc.edu/cgi-bin/hgTracks?clade=vertebrate&amp;org=Zebrafish&amp;db=danRer7&amp;position=chr23:28961751-28969998","chr23:28961751-28969998")</f>
        <v>chr23:28961751-28969998</v>
      </c>
      <c r="J85" s="24" t="str">
        <f>HYPERLINK("http://www.ncbi.nlm.nih.gov/entrez/query.fcgi?db=gene&amp;cmd=Retrieve&amp;list_uids=394009","394009")</f>
        <v>394009</v>
      </c>
      <c r="K85" s="24" t="str">
        <f>HYPERLINK("http://www.ncbi.nlm.nih.gov/entrez/query.fcgi?cmd=Search&amp;db=Nucleotide&amp;term=NM_201034","NM_201034")</f>
        <v>NM_201034</v>
      </c>
      <c r="L85" t="s">
        <v>80</v>
      </c>
      <c r="M85">
        <v>28961751</v>
      </c>
      <c r="N85">
        <v>28969998</v>
      </c>
      <c r="O85" t="s">
        <v>23</v>
      </c>
      <c r="R85" s="22" t="s">
        <v>67</v>
      </c>
      <c r="S85" s="22" t="s">
        <v>68</v>
      </c>
      <c r="T85" s="22" t="s">
        <v>2077</v>
      </c>
      <c r="U85" s="22" t="s">
        <v>2078</v>
      </c>
    </row>
    <row r="86" spans="1:21" x14ac:dyDescent="0.15">
      <c r="A86" s="22" t="s">
        <v>2079</v>
      </c>
      <c r="B86" s="22" t="s">
        <v>2080</v>
      </c>
      <c r="C86" s="22" t="s">
        <v>2081</v>
      </c>
      <c r="D86">
        <v>2.4990000000000001</v>
      </c>
      <c r="E86">
        <v>28.3</v>
      </c>
      <c r="F86">
        <v>25.39</v>
      </c>
      <c r="G86">
        <v>10.67</v>
      </c>
      <c r="H86" s="23">
        <f t="shared" si="1"/>
        <v>0.42024419062623081</v>
      </c>
      <c r="I86" s="24" t="str">
        <f>HYPERLINK("http://genome.ucsc.edu/cgi-bin/hgTracks?clade=vertebrate&amp;org=Zebrafish&amp;db=danRer7&amp;position=chr4:5207250-5213078","chr4:5207250-5213078")</f>
        <v>chr4:5207250-5213078</v>
      </c>
      <c r="J86" s="24" t="str">
        <f>HYPERLINK("http://www.ncbi.nlm.nih.gov/entrez/query.fcgi?db=gene&amp;cmd=Retrieve&amp;list_uids=406730","406730")</f>
        <v>406730</v>
      </c>
      <c r="K86" s="24" t="str">
        <f>HYPERLINK("http://www.ncbi.nlm.nih.gov/entrez/query.fcgi?cmd=Search&amp;db=Nucleotide&amp;term=NM_213421","NM_213421")</f>
        <v>NM_213421</v>
      </c>
      <c r="L86" t="s">
        <v>77</v>
      </c>
      <c r="M86">
        <v>5207250</v>
      </c>
      <c r="N86">
        <v>5213078</v>
      </c>
      <c r="O86" t="s">
        <v>23</v>
      </c>
      <c r="P86" s="22" t="s">
        <v>2082</v>
      </c>
      <c r="Q86" s="22" t="s">
        <v>2083</v>
      </c>
      <c r="R86" s="22" t="s">
        <v>2084</v>
      </c>
      <c r="S86" s="22" t="s">
        <v>2085</v>
      </c>
      <c r="T86" s="22" t="s">
        <v>2086</v>
      </c>
      <c r="U86" s="22" t="s">
        <v>2087</v>
      </c>
    </row>
    <row r="87" spans="1:21" x14ac:dyDescent="0.15">
      <c r="A87" s="22" t="s">
        <v>2088</v>
      </c>
      <c r="B87" s="22" t="s">
        <v>2089</v>
      </c>
      <c r="C87" s="22" t="s">
        <v>2090</v>
      </c>
      <c r="D87">
        <v>4.5199999999999996</v>
      </c>
      <c r="E87">
        <v>19.52</v>
      </c>
      <c r="F87">
        <v>22.77</v>
      </c>
      <c r="G87">
        <v>9.59</v>
      </c>
      <c r="H87" s="23">
        <f t="shared" si="1"/>
        <v>0.42116820377689945</v>
      </c>
      <c r="I87" s="24" t="str">
        <f>HYPERLINK("http://genome.ucsc.edu/cgi-bin/hgTracks?clade=vertebrate&amp;org=Zebrafish&amp;db=danRer7&amp;position=chr12:29898005-29911253","chr12:29898005-29911253")</f>
        <v>chr12:29898005-29911253</v>
      </c>
      <c r="J87" s="24" t="str">
        <f>HYPERLINK("http://www.ncbi.nlm.nih.gov/entrez/query.fcgi?db=gene&amp;cmd=Retrieve&amp;list_uids=322265","322265")</f>
        <v>322265</v>
      </c>
      <c r="K87" s="24" t="str">
        <f>HYPERLINK("http://www.ncbi.nlm.nih.gov/entrez/query.fcgi?cmd=Search&amp;db=Nucleotide&amp;term=NM_199592","NM_199592")</f>
        <v>NM_199592</v>
      </c>
      <c r="L87" t="s">
        <v>57</v>
      </c>
      <c r="M87">
        <v>29898005</v>
      </c>
      <c r="N87">
        <v>29911253</v>
      </c>
      <c r="O87" t="s">
        <v>19</v>
      </c>
      <c r="R87" s="22" t="s">
        <v>2091</v>
      </c>
      <c r="S87" s="22" t="s">
        <v>2092</v>
      </c>
    </row>
    <row r="88" spans="1:21" x14ac:dyDescent="0.15">
      <c r="A88" s="22" t="s">
        <v>2093</v>
      </c>
      <c r="B88" s="22" t="s">
        <v>2094</v>
      </c>
      <c r="C88" s="22" t="s">
        <v>2095</v>
      </c>
      <c r="D88">
        <v>1.7529999999999999</v>
      </c>
      <c r="E88">
        <v>29.94</v>
      </c>
      <c r="F88">
        <v>24.94</v>
      </c>
      <c r="G88">
        <v>10.51</v>
      </c>
      <c r="H88" s="23">
        <f t="shared" si="1"/>
        <v>0.42141138732959099</v>
      </c>
      <c r="I88" s="24" t="str">
        <f>HYPERLINK("http://genome.ucsc.edu/cgi-bin/hgTracks?clade=vertebrate&amp;org=Zebrafish&amp;db=danRer7&amp;position=chr13:18360444-18373441","chr13:18360444-18373441")</f>
        <v>chr13:18360444-18373441</v>
      </c>
      <c r="J88" s="24" t="str">
        <f>HYPERLINK("http://www.ncbi.nlm.nih.gov/entrez/query.fcgi?db=gene&amp;cmd=Retrieve&amp;list_uids=550549","550549")</f>
        <v>550549</v>
      </c>
      <c r="K88" s="24" t="str">
        <f>HYPERLINK("http://www.ncbi.nlm.nih.gov/entrez/query.fcgi?cmd=Search&amp;db=Nucleotide&amp;term=NM_001017851","NM_001017851")</f>
        <v>NM_001017851</v>
      </c>
      <c r="L88" t="s">
        <v>74</v>
      </c>
      <c r="M88">
        <v>18360444</v>
      </c>
      <c r="N88">
        <v>18373441</v>
      </c>
      <c r="O88" t="s">
        <v>23</v>
      </c>
      <c r="P88" s="22" t="s">
        <v>1979</v>
      </c>
      <c r="Q88" s="22" t="s">
        <v>1980</v>
      </c>
      <c r="R88" s="22" t="s">
        <v>58</v>
      </c>
      <c r="S88" s="22" t="s">
        <v>59</v>
      </c>
      <c r="T88" s="22" t="s">
        <v>1981</v>
      </c>
      <c r="U88" s="22" t="s">
        <v>1982</v>
      </c>
    </row>
    <row r="89" spans="1:21" x14ac:dyDescent="0.15">
      <c r="A89" s="22" t="s">
        <v>2096</v>
      </c>
      <c r="B89" s="22" t="s">
        <v>2097</v>
      </c>
      <c r="C89" s="22" t="s">
        <v>2098</v>
      </c>
      <c r="D89">
        <v>0.99099999999999999</v>
      </c>
      <c r="E89">
        <v>65.010000000000005</v>
      </c>
      <c r="F89">
        <v>61.41</v>
      </c>
      <c r="G89">
        <v>26.05</v>
      </c>
      <c r="H89" s="23">
        <f t="shared" si="1"/>
        <v>0.42419801335287416</v>
      </c>
      <c r="I89" s="24" t="str">
        <f>HYPERLINK("http://genome.ucsc.edu/cgi-bin/hgTracks?clade=vertebrate&amp;org=Zebrafish&amp;db=danRer7&amp;position=chr23:6847607-6861311","chr23:6847607-6861311")</f>
        <v>chr23:6847607-6861311</v>
      </c>
      <c r="J89" s="24" t="str">
        <f>HYPERLINK("http://www.ncbi.nlm.nih.gov/entrez/query.fcgi?db=gene&amp;cmd=Retrieve&amp;list_uids=415227","415227")</f>
        <v>415227</v>
      </c>
      <c r="K89" s="24" t="str">
        <f>HYPERLINK("http://www.ncbi.nlm.nih.gov/entrez/query.fcgi?cmd=Search&amp;db=Nucleotide&amp;term=NM_001002137","NM_001002137")</f>
        <v>NM_001002137</v>
      </c>
      <c r="L89" t="s">
        <v>80</v>
      </c>
      <c r="M89">
        <v>6847607</v>
      </c>
      <c r="N89">
        <v>6861311</v>
      </c>
      <c r="O89" t="s">
        <v>19</v>
      </c>
      <c r="P89" s="22" t="s">
        <v>65</v>
      </c>
      <c r="Q89" s="22" t="s">
        <v>66</v>
      </c>
      <c r="R89" s="22" t="s">
        <v>67</v>
      </c>
      <c r="S89" s="22" t="s">
        <v>68</v>
      </c>
      <c r="T89" s="22" t="s">
        <v>24</v>
      </c>
      <c r="U89" s="22" t="s">
        <v>25</v>
      </c>
    </row>
    <row r="90" spans="1:21" x14ac:dyDescent="0.15">
      <c r="A90" s="22" t="s">
        <v>2099</v>
      </c>
      <c r="B90" s="22" t="s">
        <v>2099</v>
      </c>
      <c r="C90" s="22" t="s">
        <v>2100</v>
      </c>
      <c r="D90">
        <v>2.7669999999999999</v>
      </c>
      <c r="E90">
        <v>17.53</v>
      </c>
      <c r="F90">
        <v>18.22</v>
      </c>
      <c r="G90">
        <v>7.76</v>
      </c>
      <c r="H90" s="23">
        <f t="shared" si="1"/>
        <v>0.42590559824368829</v>
      </c>
      <c r="I90" s="24" t="str">
        <f>HYPERLINK("http://genome.ucsc.edu/cgi-bin/hgTracks?clade=vertebrate&amp;org=Zebrafish&amp;db=danRer7&amp;position=chr11:7323094-7352092","chr11:7323094-7352092")</f>
        <v>chr11:7323094-7352092</v>
      </c>
      <c r="J90" s="24" t="str">
        <f>HYPERLINK("http://www.ncbi.nlm.nih.gov/entrez/query.fcgi?db=gene&amp;cmd=Retrieve&amp;list_uids=436628","436628")</f>
        <v>436628</v>
      </c>
      <c r="K90" s="24" t="str">
        <f>HYPERLINK("http://www.ncbi.nlm.nih.gov/entrez/query.fcgi?cmd=Search&amp;db=Nucleotide&amp;term=NM_001002355","NM_001002355")</f>
        <v>NM_001002355</v>
      </c>
      <c r="L90" t="s">
        <v>36</v>
      </c>
      <c r="M90">
        <v>7323094</v>
      </c>
      <c r="N90">
        <v>7352092</v>
      </c>
      <c r="O90" t="s">
        <v>19</v>
      </c>
      <c r="P90" s="22" t="s">
        <v>2101</v>
      </c>
      <c r="Q90" s="22" t="s">
        <v>2102</v>
      </c>
      <c r="R90" s="22" t="s">
        <v>67</v>
      </c>
      <c r="S90" s="22" t="s">
        <v>68</v>
      </c>
      <c r="T90" s="22" t="s">
        <v>2103</v>
      </c>
      <c r="U90" s="22" t="s">
        <v>2104</v>
      </c>
    </row>
    <row r="91" spans="1:21" x14ac:dyDescent="0.15">
      <c r="A91" s="22" t="s">
        <v>2105</v>
      </c>
      <c r="B91" s="22" t="s">
        <v>2105</v>
      </c>
      <c r="C91" s="22" t="s">
        <v>2106</v>
      </c>
      <c r="D91">
        <v>2.3740000000000001</v>
      </c>
      <c r="E91">
        <v>11.11</v>
      </c>
      <c r="F91">
        <v>13.01</v>
      </c>
      <c r="G91">
        <v>5.55</v>
      </c>
      <c r="H91" s="23">
        <f t="shared" si="1"/>
        <v>0.42659492697924672</v>
      </c>
      <c r="I91" s="24" t="str">
        <f>HYPERLINK("http://genome.ucsc.edu/cgi-bin/hgTracks?clade=vertebrate&amp;org=Zebrafish&amp;db=danRer7&amp;position=chr5:40425674-40435021","chr5:40425674-40435021")</f>
        <v>chr5:40425674-40435021</v>
      </c>
      <c r="J91" s="24" t="str">
        <f>HYPERLINK("http://www.ncbi.nlm.nih.gov/entrez/query.fcgi?db=gene&amp;cmd=Retrieve&amp;list_uids=553284","553284")</f>
        <v>553284</v>
      </c>
      <c r="K91" s="24" t="str">
        <f>HYPERLINK("http://www.ncbi.nlm.nih.gov/entrez/query.fcgi?cmd=Search&amp;db=Nucleotide&amp;term=NM_001204133","NM_001204133")</f>
        <v>NM_001204133</v>
      </c>
      <c r="L91" t="s">
        <v>29</v>
      </c>
      <c r="M91">
        <v>40425674</v>
      </c>
      <c r="N91">
        <v>40435021</v>
      </c>
      <c r="O91" t="s">
        <v>23</v>
      </c>
      <c r="P91" s="22" t="s">
        <v>2107</v>
      </c>
      <c r="Q91" s="22" t="s">
        <v>2108</v>
      </c>
      <c r="R91" s="22" t="s">
        <v>2109</v>
      </c>
      <c r="S91" s="22" t="s">
        <v>2110</v>
      </c>
      <c r="T91" s="22" t="s">
        <v>2111</v>
      </c>
      <c r="U91" s="22" t="s">
        <v>2112</v>
      </c>
    </row>
    <row r="92" spans="1:21" x14ac:dyDescent="0.15">
      <c r="A92" s="22" t="s">
        <v>2113</v>
      </c>
      <c r="B92" s="22" t="s">
        <v>2114</v>
      </c>
      <c r="C92" s="22" t="s">
        <v>2115</v>
      </c>
      <c r="D92">
        <v>3.282</v>
      </c>
      <c r="E92">
        <v>83.07</v>
      </c>
      <c r="F92">
        <v>84.5</v>
      </c>
      <c r="G92">
        <v>36.22</v>
      </c>
      <c r="H92" s="23">
        <f t="shared" si="1"/>
        <v>0.42863905325443785</v>
      </c>
      <c r="I92" s="24" t="str">
        <f>HYPERLINK("http://genome.ucsc.edu/cgi-bin/hgTracks?clade=vertebrate&amp;org=Zebrafish&amp;db=danRer7&amp;position=chr22:4339291-4345519","chr22:4339291-4345519")</f>
        <v>chr22:4339291-4345519</v>
      </c>
      <c r="J92" s="24" t="str">
        <f>HYPERLINK("http://www.ncbi.nlm.nih.gov/entrez/query.fcgi?db=gene&amp;cmd=Retrieve&amp;list_uids=30248","30248")</f>
        <v>30248</v>
      </c>
      <c r="K92" s="24" t="str">
        <f>HYPERLINK("http://www.ncbi.nlm.nih.gov/entrez/query.fcgi?cmd=Search&amp;db=Nucleotide&amp;term=NM_131047","NM_131047")</f>
        <v>NM_131047</v>
      </c>
      <c r="L92" t="s">
        <v>103</v>
      </c>
      <c r="M92">
        <v>4339291</v>
      </c>
      <c r="N92">
        <v>4345519</v>
      </c>
      <c r="O92" t="s">
        <v>19</v>
      </c>
      <c r="P92" s="22" t="s">
        <v>1783</v>
      </c>
      <c r="Q92" s="22" t="s">
        <v>1784</v>
      </c>
      <c r="R92" s="22" t="s">
        <v>1785</v>
      </c>
      <c r="S92" s="22" t="s">
        <v>1786</v>
      </c>
      <c r="T92" s="22" t="s">
        <v>1787</v>
      </c>
      <c r="U92" s="22" t="s">
        <v>1788</v>
      </c>
    </row>
    <row r="93" spans="1:21" x14ac:dyDescent="0.15">
      <c r="A93" s="22" t="s">
        <v>2116</v>
      </c>
      <c r="B93" s="22" t="s">
        <v>2117</v>
      </c>
      <c r="C93" s="22" t="s">
        <v>2118</v>
      </c>
      <c r="D93">
        <v>1.4139999999999999</v>
      </c>
      <c r="E93">
        <v>12.27</v>
      </c>
      <c r="F93">
        <v>10.09</v>
      </c>
      <c r="G93">
        <v>4.34</v>
      </c>
      <c r="H93" s="23">
        <f t="shared" si="1"/>
        <v>0.4301288404360753</v>
      </c>
      <c r="I93" s="24" t="str">
        <f>HYPERLINK("http://genome.ucsc.edu/cgi-bin/hgTracks?clade=vertebrate&amp;org=Zebrafish&amp;db=danRer7&amp;position=chr2:27704112-27723869","chr2:27704112-27723869")</f>
        <v>chr2:27704112-27723869</v>
      </c>
      <c r="J93" s="24" t="str">
        <f>HYPERLINK("http://www.ncbi.nlm.nih.gov/entrez/query.fcgi?db=gene&amp;cmd=Retrieve&amp;list_uids=30617","30617")</f>
        <v>30617</v>
      </c>
      <c r="K93" s="24" t="str">
        <f>HYPERLINK("http://www.ncbi.nlm.nih.gov/entrez/query.fcgi?cmd=Search&amp;db=Nucleotide&amp;term=NM_131347","NM_131347")</f>
        <v>NM_131347</v>
      </c>
      <c r="L93" t="s">
        <v>79</v>
      </c>
      <c r="M93">
        <v>27704112</v>
      </c>
      <c r="N93">
        <v>27723869</v>
      </c>
      <c r="O93" t="s">
        <v>19</v>
      </c>
      <c r="P93" s="22" t="s">
        <v>2119</v>
      </c>
      <c r="Q93" s="22" t="s">
        <v>2120</v>
      </c>
      <c r="R93" s="22" t="s">
        <v>58</v>
      </c>
      <c r="S93" s="22" t="s">
        <v>59</v>
      </c>
      <c r="T93" s="22" t="s">
        <v>2121</v>
      </c>
      <c r="U93" s="22" t="s">
        <v>2122</v>
      </c>
    </row>
    <row r="94" spans="1:21" x14ac:dyDescent="0.15">
      <c r="A94" s="22" t="s">
        <v>2123</v>
      </c>
      <c r="B94" s="22" t="s">
        <v>2124</v>
      </c>
      <c r="C94" s="22" t="s">
        <v>2125</v>
      </c>
      <c r="D94">
        <v>4.2539999999999996</v>
      </c>
      <c r="E94">
        <v>9.85</v>
      </c>
      <c r="F94">
        <v>11.45</v>
      </c>
      <c r="G94">
        <v>4.95</v>
      </c>
      <c r="H94" s="23">
        <f t="shared" si="1"/>
        <v>0.43231441048034941</v>
      </c>
      <c r="I94" s="24" t="str">
        <f>HYPERLINK("http://genome.ucsc.edu/cgi-bin/hgTracks?clade=vertebrate&amp;org=Zebrafish&amp;db=danRer7&amp;position=chr16:38154194-38165789","chr16:38154194-38165789")</f>
        <v>chr16:38154194-38165789</v>
      </c>
      <c r="J94" s="24" t="str">
        <f>HYPERLINK("http://www.ncbi.nlm.nih.gov/entrez/query.fcgi?db=gene&amp;cmd=Retrieve&amp;list_uids=436717","436717")</f>
        <v>436717</v>
      </c>
      <c r="K94" s="24" t="str">
        <f>HYPERLINK("http://www.ncbi.nlm.nih.gov/entrez/query.fcgi?cmd=Search&amp;db=Nucleotide&amp;term=NM_001002444","NM_001002444")</f>
        <v>NM_001002444</v>
      </c>
      <c r="L94" t="s">
        <v>71</v>
      </c>
      <c r="M94">
        <v>38154194</v>
      </c>
      <c r="N94">
        <v>38165789</v>
      </c>
      <c r="O94" t="s">
        <v>23</v>
      </c>
      <c r="P94" s="22" t="s">
        <v>37</v>
      </c>
      <c r="Q94" s="22" t="s">
        <v>38</v>
      </c>
      <c r="T94" s="22" t="s">
        <v>304</v>
      </c>
      <c r="U94" s="22" t="s">
        <v>305</v>
      </c>
    </row>
    <row r="95" spans="1:21" x14ac:dyDescent="0.15">
      <c r="A95" s="22" t="s">
        <v>2126</v>
      </c>
      <c r="B95" s="22" t="s">
        <v>2127</v>
      </c>
      <c r="C95" s="22" t="s">
        <v>2128</v>
      </c>
      <c r="D95">
        <v>7.3070000000000004</v>
      </c>
      <c r="E95">
        <v>119.95</v>
      </c>
      <c r="F95">
        <v>194</v>
      </c>
      <c r="G95">
        <v>83.94</v>
      </c>
      <c r="H95" s="23">
        <f t="shared" si="1"/>
        <v>0.43268041237113403</v>
      </c>
      <c r="I95" s="24" t="str">
        <f>HYPERLINK("http://genome.ucsc.edu/cgi-bin/hgTracks?clade=vertebrate&amp;org=Zebrafish&amp;db=danRer7&amp;position=chr5:33919430-33930580","chr5:33919430-33930580")</f>
        <v>chr5:33919430-33930580</v>
      </c>
      <c r="J95" s="24" t="str">
        <f>HYPERLINK("http://www.ncbi.nlm.nih.gov/entrez/query.fcgi?db=gene&amp;cmd=Retrieve&amp;list_uids=799300","799300")</f>
        <v>799300</v>
      </c>
      <c r="K95" s="24" t="str">
        <f>HYPERLINK("http://www.ncbi.nlm.nih.gov/entrez/query.fcgi?cmd=Search&amp;db=Nucleotide&amp;term=NM_001161446","NM_001161446")</f>
        <v>NM_001161446</v>
      </c>
      <c r="L95" t="s">
        <v>29</v>
      </c>
      <c r="M95">
        <v>33919430</v>
      </c>
      <c r="N95">
        <v>33930580</v>
      </c>
      <c r="O95" t="s">
        <v>19</v>
      </c>
      <c r="R95" s="22" t="s">
        <v>2129</v>
      </c>
      <c r="S95" s="22" t="s">
        <v>2130</v>
      </c>
      <c r="T95" s="22" t="s">
        <v>2131</v>
      </c>
      <c r="U95" s="22" t="s">
        <v>2132</v>
      </c>
    </row>
    <row r="96" spans="1:21" x14ac:dyDescent="0.15">
      <c r="A96" s="22" t="s">
        <v>2133</v>
      </c>
      <c r="B96" s="22" t="s">
        <v>2133</v>
      </c>
      <c r="C96" s="22" t="s">
        <v>2134</v>
      </c>
      <c r="D96">
        <v>1.4470000000000001</v>
      </c>
      <c r="E96">
        <v>4.32</v>
      </c>
      <c r="F96">
        <v>17.649999999999999</v>
      </c>
      <c r="G96">
        <v>7.64</v>
      </c>
      <c r="H96" s="23">
        <f t="shared" si="1"/>
        <v>0.43286118980169974</v>
      </c>
      <c r="I96" s="24" t="str">
        <f>HYPERLINK("http://genome.ucsc.edu/cgi-bin/hgTracks?clade=vertebrate&amp;org=Zebrafish&amp;db=danRer7&amp;position=chr3:32276514-32278059","chr3:32276514-32278059")</f>
        <v>chr3:32276514-32278059</v>
      </c>
      <c r="J96" s="24" t="str">
        <f>HYPERLINK("http://www.ncbi.nlm.nih.gov/entrez/query.fcgi?db=gene&amp;cmd=Retrieve&amp;list_uids=100126128","100126128")</f>
        <v>100126128</v>
      </c>
      <c r="K96" s="24" t="str">
        <f>HYPERLINK("http://www.ncbi.nlm.nih.gov/entrez/query.fcgi?cmd=Search&amp;db=Nucleotide&amp;term=NM_001109854","NM_001109854")</f>
        <v>NM_001109854</v>
      </c>
      <c r="L96" t="s">
        <v>47</v>
      </c>
      <c r="M96">
        <v>32276514</v>
      </c>
      <c r="N96">
        <v>32278059</v>
      </c>
      <c r="O96" t="s">
        <v>23</v>
      </c>
      <c r="P96" s="22" t="s">
        <v>641</v>
      </c>
      <c r="Q96" s="22" t="s">
        <v>642</v>
      </c>
      <c r="R96" s="22" t="s">
        <v>67</v>
      </c>
      <c r="S96" s="22" t="s">
        <v>68</v>
      </c>
      <c r="T96" s="22" t="s">
        <v>643</v>
      </c>
      <c r="U96" s="22" t="s">
        <v>644</v>
      </c>
    </row>
    <row r="97" spans="1:22" x14ac:dyDescent="0.15">
      <c r="A97" s="22" t="s">
        <v>2135</v>
      </c>
      <c r="B97" s="22" t="s">
        <v>2136</v>
      </c>
      <c r="C97" s="22" t="s">
        <v>2137</v>
      </c>
      <c r="D97">
        <v>3.222</v>
      </c>
      <c r="E97">
        <v>16.170000000000002</v>
      </c>
      <c r="F97">
        <v>21.22</v>
      </c>
      <c r="G97">
        <v>9.2100000000000009</v>
      </c>
      <c r="H97" s="23">
        <f t="shared" si="1"/>
        <v>0.43402450518378893</v>
      </c>
      <c r="I97" s="24" t="str">
        <f>HYPERLINK("http://genome.ucsc.edu/cgi-bin/hgTracks?clade=vertebrate&amp;org=Zebrafish&amp;db=danRer7&amp;position=chr21:41543116-41577027","chr21:41543116-41577027")</f>
        <v>chr21:41543116-41577027</v>
      </c>
      <c r="J97" s="24" t="str">
        <f>HYPERLINK("http://www.ncbi.nlm.nih.gov/entrez/query.fcgi?db=gene&amp;cmd=Retrieve&amp;list_uids=335865","335865")</f>
        <v>335865</v>
      </c>
      <c r="K97" s="24" t="str">
        <f>HYPERLINK("http://www.ncbi.nlm.nih.gov/entrez/query.fcgi?cmd=Search&amp;db=Nucleotide&amp;term=NM_214716","NM_214716")</f>
        <v>NM_214716</v>
      </c>
      <c r="L97" t="s">
        <v>83</v>
      </c>
      <c r="M97">
        <v>41543116</v>
      </c>
      <c r="N97">
        <v>41577027</v>
      </c>
      <c r="O97" t="s">
        <v>19</v>
      </c>
      <c r="P97" s="22" t="s">
        <v>165</v>
      </c>
      <c r="Q97" s="22" t="s">
        <v>166</v>
      </c>
      <c r="T97" s="22" t="s">
        <v>130</v>
      </c>
      <c r="U97" s="22" t="s">
        <v>131</v>
      </c>
    </row>
    <row r="98" spans="1:22" x14ac:dyDescent="0.15">
      <c r="C98" s="22" t="s">
        <v>2138</v>
      </c>
      <c r="D98">
        <v>2.7839999999999998</v>
      </c>
      <c r="E98">
        <v>208.2</v>
      </c>
      <c r="F98">
        <v>334.09</v>
      </c>
      <c r="G98">
        <v>145.58000000000001</v>
      </c>
      <c r="H98" s="23">
        <f t="shared" si="1"/>
        <v>0.43575084558053229</v>
      </c>
      <c r="I98" s="24" t="str">
        <f>HYPERLINK("http://genome.ucsc.edu/cgi-bin/hgTracks?clade=vertebrate&amp;org=Zebrafish&amp;db=danRer7&amp;position=chr5:33904290-33909386","chr5:33904290-33909386")</f>
        <v>chr5:33904290-33909386</v>
      </c>
      <c r="J98" s="24"/>
      <c r="K98" s="24"/>
      <c r="L98" t="s">
        <v>29</v>
      </c>
      <c r="M98">
        <v>33904290</v>
      </c>
      <c r="N98">
        <v>33909386</v>
      </c>
      <c r="O98" t="s">
        <v>1666</v>
      </c>
    </row>
    <row r="99" spans="1:22" x14ac:dyDescent="0.15">
      <c r="A99" s="22" t="s">
        <v>2139</v>
      </c>
      <c r="B99" s="22" t="s">
        <v>2140</v>
      </c>
      <c r="C99" s="22" t="s">
        <v>2141</v>
      </c>
      <c r="D99">
        <v>3.173</v>
      </c>
      <c r="E99">
        <v>26.11</v>
      </c>
      <c r="F99">
        <v>19.59</v>
      </c>
      <c r="G99">
        <v>8.5500000000000007</v>
      </c>
      <c r="H99" s="23">
        <f t="shared" si="1"/>
        <v>0.43644716692189894</v>
      </c>
      <c r="I99" s="24" t="str">
        <f>HYPERLINK("http://genome.ucsc.edu/cgi-bin/hgTracks?clade=vertebrate&amp;org=Zebrafish&amp;db=danRer7&amp;position=chr6:12880066-12897310","chr6:12880066-12897310")</f>
        <v>chr6:12880066-12897310</v>
      </c>
      <c r="J99" s="24" t="str">
        <f>HYPERLINK("http://www.ncbi.nlm.nih.gov/entrez/query.fcgi?db=gene&amp;cmd=Retrieve&amp;list_uids=566409","566409")</f>
        <v>566409</v>
      </c>
      <c r="K99" s="24" t="str">
        <f>HYPERLINK("http://www.ncbi.nlm.nih.gov/entrez/query.fcgi?cmd=Search&amp;db=Nucleotide&amp;term=NM_001082849","NM_001082849")</f>
        <v>NM_001082849</v>
      </c>
      <c r="L99" t="s">
        <v>46</v>
      </c>
      <c r="M99">
        <v>12880066</v>
      </c>
      <c r="N99">
        <v>12897310</v>
      </c>
      <c r="O99" t="s">
        <v>23</v>
      </c>
      <c r="P99" s="22" t="s">
        <v>2142</v>
      </c>
      <c r="Q99" s="22" t="s">
        <v>2143</v>
      </c>
      <c r="R99" s="22" t="s">
        <v>61</v>
      </c>
      <c r="S99" s="22" t="s">
        <v>62</v>
      </c>
      <c r="T99" s="22" t="s">
        <v>2144</v>
      </c>
      <c r="U99" s="22" t="s">
        <v>2145</v>
      </c>
    </row>
    <row r="100" spans="1:22" x14ac:dyDescent="0.15">
      <c r="A100" s="22" t="s">
        <v>2146</v>
      </c>
      <c r="B100" s="22" t="s">
        <v>2147</v>
      </c>
      <c r="C100" s="22" t="s">
        <v>2148</v>
      </c>
      <c r="D100">
        <v>2.3010000000000002</v>
      </c>
      <c r="E100">
        <v>19.010000000000002</v>
      </c>
      <c r="F100">
        <v>21.1</v>
      </c>
      <c r="G100">
        <v>9.2200000000000006</v>
      </c>
      <c r="H100" s="23">
        <f t="shared" si="1"/>
        <v>0.43696682464454978</v>
      </c>
      <c r="I100" s="24" t="str">
        <f>HYPERLINK("http://genome.ucsc.edu/cgi-bin/hgTracks?clade=vertebrate&amp;org=Zebrafish&amp;db=danRer7&amp;position=chr18:14181616-14203777","chr18:14181616-14203777")</f>
        <v>chr18:14181616-14203777</v>
      </c>
      <c r="J100" s="24" t="str">
        <f>HYPERLINK("http://www.ncbi.nlm.nih.gov/entrez/query.fcgi?db=gene&amp;cmd=Retrieve&amp;list_uids=560860","560860")</f>
        <v>560860</v>
      </c>
      <c r="K100" s="24" t="str">
        <f>HYPERLINK("http://www.ncbi.nlm.nih.gov/entrez/query.fcgi?cmd=Search&amp;db=Nucleotide&amp;term=NM_001100000","NM_001100000")</f>
        <v>NM_001100000</v>
      </c>
      <c r="L100" t="s">
        <v>41</v>
      </c>
      <c r="M100">
        <v>14181616</v>
      </c>
      <c r="N100">
        <v>14203777</v>
      </c>
      <c r="O100" t="s">
        <v>23</v>
      </c>
      <c r="R100" s="22" t="s">
        <v>115</v>
      </c>
      <c r="S100" s="22" t="s">
        <v>116</v>
      </c>
      <c r="T100" s="22" t="s">
        <v>857</v>
      </c>
      <c r="U100" s="22" t="s">
        <v>858</v>
      </c>
    </row>
    <row r="101" spans="1:22" x14ac:dyDescent="0.15">
      <c r="A101" s="22" t="s">
        <v>2149</v>
      </c>
      <c r="B101" s="22" t="s">
        <v>2150</v>
      </c>
      <c r="C101" s="22" t="s">
        <v>2151</v>
      </c>
      <c r="D101">
        <v>2.4550000000000001</v>
      </c>
      <c r="E101">
        <v>23.82</v>
      </c>
      <c r="F101">
        <v>16.309999999999999</v>
      </c>
      <c r="G101">
        <v>7.14</v>
      </c>
      <c r="H101" s="23">
        <f t="shared" si="1"/>
        <v>0.43776824034334766</v>
      </c>
      <c r="I101" s="24" t="str">
        <f>HYPERLINK("http://genome.ucsc.edu/cgi-bin/hgTracks?clade=vertebrate&amp;org=Zebrafish&amp;db=danRer7&amp;position=chr24:11681084-11691832","chr24:11681084-11691832")</f>
        <v>chr24:11681084-11691832</v>
      </c>
      <c r="J101" s="24" t="str">
        <f>HYPERLINK("http://www.ncbi.nlm.nih.gov/entrez/query.fcgi?db=gene&amp;cmd=Retrieve&amp;list_uids=386707","386707")</f>
        <v>386707</v>
      </c>
      <c r="K101" s="24" t="str">
        <f>HYPERLINK("http://www.ncbi.nlm.nih.gov/entrez/query.fcgi?cmd=Search&amp;db=Nucleotide&amp;term=NM_198820","NM_198820")</f>
        <v>NM_198820</v>
      </c>
      <c r="L101" t="s">
        <v>69</v>
      </c>
      <c r="M101">
        <v>11681084</v>
      </c>
      <c r="N101">
        <v>11691832</v>
      </c>
      <c r="O101" t="s">
        <v>23</v>
      </c>
      <c r="P101" s="22" t="s">
        <v>2152</v>
      </c>
      <c r="Q101" s="22" t="s">
        <v>2153</v>
      </c>
      <c r="R101" s="22" t="s">
        <v>2154</v>
      </c>
      <c r="S101" s="22" t="s">
        <v>2155</v>
      </c>
      <c r="T101" s="22" t="s">
        <v>2156</v>
      </c>
      <c r="U101" s="22" t="s">
        <v>2157</v>
      </c>
    </row>
    <row r="102" spans="1:22" x14ac:dyDescent="0.15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Upregulated genes</vt:lpstr>
      <vt:lpstr>Downregulated 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</dc:creator>
  <cp:lastModifiedBy>Windows ユーザー</cp:lastModifiedBy>
  <dcterms:created xsi:type="dcterms:W3CDTF">2017-01-18T03:38:54Z</dcterms:created>
  <dcterms:modified xsi:type="dcterms:W3CDTF">2017-02-17T03:03:22Z</dcterms:modified>
</cp:coreProperties>
</file>