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date1904="1" defaultThemeVersion="166925"/>
  <mc:AlternateContent xmlns:mc="http://schemas.openxmlformats.org/markup-compatibility/2006">
    <mc:Choice Requires="x15">
      <x15ac:absPath xmlns:x15ac="http://schemas.microsoft.com/office/spreadsheetml/2010/11/ac" url="C:\Users\Dr. O'Brien\Desktop\Source files etc\"/>
    </mc:Choice>
  </mc:AlternateContent>
  <xr:revisionPtr revIDLastSave="0" documentId="8_{1FA3583D-3483-4677-8361-298CCDF5FDB4}" xr6:coauthVersionLast="34" xr6:coauthVersionMax="34" xr10:uidLastSave="{00000000-0000-0000-0000-000000000000}"/>
  <bookViews>
    <workbookView xWindow="0" yWindow="42" windowWidth="15960" windowHeight="18078" activeTab="2" xr2:uid="{00000000-000D-0000-FFFF-FFFF00000000}"/>
  </bookViews>
  <sheets>
    <sheet name="Export Summary" sheetId="1" r:id="rId1"/>
    <sheet name="Recovered_Sheet1" sheetId="2" r:id="rId2"/>
    <sheet name="Sheet 1" sheetId="3" r:id="rId3"/>
  </sheets>
  <calcPr calcId="179021"/>
  <fileRecoveryPr repairLoad="1"/>
</workbook>
</file>

<file path=xl/calcChain.xml><?xml version="1.0" encoding="utf-8"?>
<calcChain xmlns="http://schemas.openxmlformats.org/spreadsheetml/2006/main">
  <c r="M1082" i="3" l="1"/>
  <c r="L1082" i="3"/>
  <c r="K1082" i="3"/>
  <c r="J1082" i="3"/>
  <c r="H1082" i="3"/>
  <c r="G1082" i="3"/>
  <c r="F1082" i="3"/>
  <c r="E1082" i="3"/>
  <c r="M1081" i="3"/>
  <c r="L1081" i="3"/>
  <c r="K1081" i="3"/>
  <c r="J1081" i="3"/>
  <c r="H1081" i="3"/>
  <c r="G1081" i="3"/>
  <c r="F1081" i="3"/>
  <c r="E1081" i="3"/>
  <c r="S1065" i="3"/>
  <c r="R1065" i="3"/>
  <c r="Q1064" i="3"/>
  <c r="H1064" i="3"/>
  <c r="G1064" i="3"/>
  <c r="F1064" i="3"/>
  <c r="S1063" i="3"/>
  <c r="R1063" i="3"/>
  <c r="N1063" i="3"/>
  <c r="Q1063" i="3" s="1"/>
  <c r="F1062" i="3"/>
  <c r="C1062" i="3"/>
  <c r="S1061" i="3"/>
  <c r="R1061" i="3"/>
  <c r="H1060" i="3"/>
  <c r="H1062" i="3" s="1"/>
  <c r="G1060" i="3"/>
  <c r="G1063" i="3" s="1"/>
  <c r="H933" i="3"/>
  <c r="G933" i="3"/>
  <c r="V932" i="3"/>
  <c r="U932" i="3"/>
  <c r="H932" i="3"/>
  <c r="G932" i="3"/>
  <c r="V931" i="3"/>
  <c r="U931" i="3"/>
  <c r="F931" i="3"/>
  <c r="C931" i="3"/>
  <c r="T930" i="3"/>
  <c r="Q930" i="3"/>
  <c r="H929" i="3"/>
  <c r="H931" i="3" s="1"/>
  <c r="G929" i="3"/>
  <c r="G931" i="3" s="1"/>
  <c r="V928" i="3"/>
  <c r="V930" i="3" s="1"/>
  <c r="U928" i="3"/>
  <c r="U930" i="3" s="1"/>
  <c r="BR900" i="3"/>
  <c r="BR901" i="3" s="1"/>
  <c r="H818" i="3" s="1"/>
  <c r="I830" i="3" s="1"/>
  <c r="BL900" i="3"/>
  <c r="BL901" i="3" s="1"/>
  <c r="C818" i="3" s="1"/>
  <c r="H830" i="3" s="1"/>
  <c r="BE900" i="3"/>
  <c r="BE901" i="3" s="1"/>
  <c r="S818" i="3" s="1"/>
  <c r="K830" i="3" s="1"/>
  <c r="AZ900" i="3"/>
  <c r="AZ901" i="3" s="1"/>
  <c r="N818" i="3" s="1"/>
  <c r="J830" i="3" s="1"/>
  <c r="AT900" i="3"/>
  <c r="AT901" i="3" s="1"/>
  <c r="H815" i="3" s="1"/>
  <c r="AO900" i="3"/>
  <c r="AO901" i="3" s="1"/>
  <c r="C815" i="3" s="1"/>
  <c r="H829" i="3" s="1"/>
  <c r="AH900" i="3"/>
  <c r="AH901" i="3" s="1"/>
  <c r="S815" i="3" s="1"/>
  <c r="AD900" i="3"/>
  <c r="AD901" i="3" s="1"/>
  <c r="N815" i="3" s="1"/>
  <c r="J829" i="3" s="1"/>
  <c r="BB896" i="3"/>
  <c r="AJ896" i="3"/>
  <c r="BG893" i="3"/>
  <c r="AF893" i="3"/>
  <c r="BG890" i="3"/>
  <c r="AQ890" i="3"/>
  <c r="AJ890" i="3"/>
  <c r="BG887" i="3"/>
  <c r="AQ887" i="3"/>
  <c r="AJ887" i="3"/>
  <c r="BB884" i="3"/>
  <c r="BB900" i="3" s="1"/>
  <c r="BB901" i="3" s="1"/>
  <c r="P818" i="3" s="1"/>
  <c r="AQ884" i="3"/>
  <c r="AJ884" i="3"/>
  <c r="BG881" i="3"/>
  <c r="AV881" i="3"/>
  <c r="AJ881" i="3"/>
  <c r="BG878" i="3"/>
  <c r="AQ878" i="3"/>
  <c r="AJ878" i="3"/>
  <c r="BG875" i="3"/>
  <c r="AQ875" i="3"/>
  <c r="AJ875" i="3"/>
  <c r="BG872" i="3"/>
  <c r="AQ872" i="3"/>
  <c r="AF872" i="3"/>
  <c r="BG869" i="3"/>
  <c r="AQ869" i="3"/>
  <c r="AF869" i="3"/>
  <c r="BG866" i="3"/>
  <c r="AQ866" i="3"/>
  <c r="AF866" i="3"/>
  <c r="BG863" i="3"/>
  <c r="AV863" i="3"/>
  <c r="AF863" i="3"/>
  <c r="BG860" i="3"/>
  <c r="AQ860" i="3"/>
  <c r="AJ860" i="3"/>
  <c r="BG857" i="3"/>
  <c r="AQ857" i="3"/>
  <c r="AJ857" i="3"/>
  <c r="BB854" i="3"/>
  <c r="AQ854" i="3"/>
  <c r="AF854" i="3"/>
  <c r="BN851" i="3"/>
  <c r="BB851" i="3"/>
  <c r="AQ851" i="3"/>
  <c r="AJ851" i="3"/>
  <c r="BT848" i="3"/>
  <c r="BG848" i="3"/>
  <c r="AV848" i="3"/>
  <c r="AJ848" i="3"/>
  <c r="BT845" i="3"/>
  <c r="BB845" i="3"/>
  <c r="AV845" i="3"/>
  <c r="AF845" i="3"/>
  <c r="BN842" i="3"/>
  <c r="BB842" i="3"/>
  <c r="AV842" i="3"/>
  <c r="AJ842" i="3"/>
  <c r="BT839" i="3"/>
  <c r="BG839" i="3"/>
  <c r="AV839" i="3"/>
  <c r="AF839" i="3"/>
  <c r="BN836" i="3"/>
  <c r="BG836" i="3"/>
  <c r="AV836" i="3"/>
  <c r="AF836" i="3"/>
  <c r="BN833" i="3"/>
  <c r="BG833" i="3"/>
  <c r="AQ833" i="3"/>
  <c r="AJ833" i="3"/>
  <c r="BN830" i="3"/>
  <c r="BN900" i="3" s="1"/>
  <c r="BN901" i="3" s="1"/>
  <c r="E818" i="3" s="1"/>
  <c r="BG830" i="3"/>
  <c r="AQ830" i="3"/>
  <c r="AJ830" i="3"/>
  <c r="I829" i="3"/>
  <c r="K828" i="3"/>
  <c r="BN827" i="3"/>
  <c r="BG827" i="3"/>
  <c r="AQ827" i="3"/>
  <c r="AJ827" i="3"/>
  <c r="BN824" i="3"/>
  <c r="BG824" i="3"/>
  <c r="AQ824" i="3"/>
  <c r="AJ824" i="3"/>
  <c r="BN821" i="3"/>
  <c r="BG821" i="3"/>
  <c r="AQ821" i="3"/>
  <c r="AJ821" i="3"/>
  <c r="BT818" i="3"/>
  <c r="BG818" i="3"/>
  <c r="AQ818" i="3"/>
  <c r="AJ818" i="3"/>
  <c r="BN815" i="3"/>
  <c r="BG815" i="3"/>
  <c r="AQ815" i="3"/>
  <c r="AJ815" i="3"/>
  <c r="BN812" i="3"/>
  <c r="BG812" i="3"/>
  <c r="AQ812" i="3"/>
  <c r="AJ812" i="3"/>
  <c r="BN809" i="3"/>
  <c r="BB809" i="3"/>
  <c r="AV809" i="3"/>
  <c r="AJ809" i="3"/>
  <c r="BN806" i="3"/>
  <c r="BG806" i="3"/>
  <c r="AQ806" i="3"/>
  <c r="AJ806" i="3"/>
  <c r="BN803" i="3"/>
  <c r="BG803" i="3"/>
  <c r="AV803" i="3"/>
  <c r="AJ803" i="3"/>
  <c r="R802" i="3"/>
  <c r="R803" i="3" s="1"/>
  <c r="M802" i="3"/>
  <c r="M803" i="3" s="1"/>
  <c r="C806" i="3" s="1"/>
  <c r="H802" i="3"/>
  <c r="H803" i="3" s="1"/>
  <c r="C802" i="3"/>
  <c r="C803" i="3" s="1"/>
  <c r="BN800" i="3"/>
  <c r="BG800" i="3"/>
  <c r="AV800" i="3"/>
  <c r="AJ800" i="3"/>
  <c r="O799" i="3"/>
  <c r="J799" i="3"/>
  <c r="BN797" i="3"/>
  <c r="BG797" i="3"/>
  <c r="AQ797" i="3"/>
  <c r="AJ797" i="3"/>
  <c r="O796" i="3"/>
  <c r="J796" i="3"/>
  <c r="BN794" i="3"/>
  <c r="BB794" i="3"/>
  <c r="AV794" i="3"/>
  <c r="AJ794" i="3"/>
  <c r="O793" i="3"/>
  <c r="J793" i="3"/>
  <c r="BT791" i="3"/>
  <c r="BG791" i="3"/>
  <c r="AQ791" i="3"/>
  <c r="AQ900" i="3" s="1"/>
  <c r="AQ901" i="3" s="1"/>
  <c r="E815" i="3" s="1"/>
  <c r="AJ791" i="3"/>
  <c r="O790" i="3"/>
  <c r="E790" i="3"/>
  <c r="BT788" i="3"/>
  <c r="BG788" i="3"/>
  <c r="AV788" i="3"/>
  <c r="AJ788" i="3"/>
  <c r="T787" i="3"/>
  <c r="T802" i="3" s="1"/>
  <c r="T803" i="3" s="1"/>
  <c r="J787" i="3"/>
  <c r="BT785" i="3"/>
  <c r="BG785" i="3"/>
  <c r="AV785" i="3"/>
  <c r="AJ785" i="3"/>
  <c r="O784" i="3"/>
  <c r="J784" i="3"/>
  <c r="BN782" i="3"/>
  <c r="BG782" i="3"/>
  <c r="AV782" i="3"/>
  <c r="AJ782" i="3"/>
  <c r="E781" i="3"/>
  <c r="BT779" i="3"/>
  <c r="BG779" i="3"/>
  <c r="AV779" i="3"/>
  <c r="AF779" i="3"/>
  <c r="O778" i="3"/>
  <c r="J778" i="3"/>
  <c r="BN776" i="3"/>
  <c r="BG776" i="3"/>
  <c r="AQ776" i="3"/>
  <c r="AJ776" i="3"/>
  <c r="O775" i="3"/>
  <c r="J775" i="3"/>
  <c r="BT773" i="3"/>
  <c r="BG773" i="3"/>
  <c r="AQ773" i="3"/>
  <c r="AJ773" i="3"/>
  <c r="T772" i="3"/>
  <c r="J772" i="3"/>
  <c r="BT770" i="3"/>
  <c r="BG770" i="3"/>
  <c r="AQ770" i="3"/>
  <c r="AJ770" i="3"/>
  <c r="O769" i="3"/>
  <c r="J769" i="3"/>
  <c r="BN767" i="3"/>
  <c r="BB767" i="3"/>
  <c r="AV767" i="3"/>
  <c r="AJ767" i="3"/>
  <c r="O766" i="3"/>
  <c r="E766" i="3"/>
  <c r="BN764" i="3"/>
  <c r="BG764" i="3"/>
  <c r="AQ764" i="3"/>
  <c r="AJ764" i="3"/>
  <c r="T763" i="3"/>
  <c r="J763" i="3"/>
  <c r="BN761" i="3"/>
  <c r="BG761" i="3"/>
  <c r="AQ761" i="3"/>
  <c r="AJ761" i="3"/>
  <c r="T760" i="3"/>
  <c r="J760" i="3"/>
  <c r="BT758" i="3"/>
  <c r="BG758" i="3"/>
  <c r="AQ758" i="3"/>
  <c r="AJ758" i="3"/>
  <c r="O757" i="3"/>
  <c r="E757" i="3"/>
  <c r="BT755" i="3"/>
  <c r="BG755" i="3"/>
  <c r="AQ755" i="3"/>
  <c r="AF755" i="3"/>
  <c r="AF900" i="3" s="1"/>
  <c r="AF901" i="3" s="1"/>
  <c r="P815" i="3" s="1"/>
  <c r="T754" i="3"/>
  <c r="J754" i="3"/>
  <c r="BT752" i="3"/>
  <c r="BG752" i="3"/>
  <c r="AQ752" i="3"/>
  <c r="AJ752" i="3"/>
  <c r="O751" i="3"/>
  <c r="J751" i="3"/>
  <c r="BT749" i="3"/>
  <c r="BG749" i="3"/>
  <c r="AV749" i="3"/>
  <c r="AJ749" i="3"/>
  <c r="O748" i="3"/>
  <c r="J748" i="3"/>
  <c r="BN746" i="3"/>
  <c r="BG746" i="3"/>
  <c r="AQ746" i="3"/>
  <c r="AJ746" i="3"/>
  <c r="O745" i="3"/>
  <c r="E745" i="3"/>
  <c r="BN743" i="3"/>
  <c r="BG743" i="3"/>
  <c r="AQ743" i="3"/>
  <c r="AJ743" i="3"/>
  <c r="AJ900" i="3" s="1"/>
  <c r="AJ901" i="3" s="1"/>
  <c r="U815" i="3" s="1"/>
  <c r="T742" i="3"/>
  <c r="E742" i="3"/>
  <c r="T739" i="3"/>
  <c r="J739" i="3"/>
  <c r="T736" i="3"/>
  <c r="J736" i="3"/>
  <c r="O733" i="3"/>
  <c r="J733" i="3"/>
  <c r="Z730" i="3"/>
  <c r="T730" i="3"/>
  <c r="J730" i="3"/>
  <c r="AE729" i="3"/>
  <c r="AE730" i="3" s="1"/>
  <c r="S809" i="3" s="1"/>
  <c r="K827" i="3" s="1"/>
  <c r="Z729" i="3"/>
  <c r="T727" i="3"/>
  <c r="E727" i="3"/>
  <c r="AG726" i="3"/>
  <c r="T724" i="3"/>
  <c r="J724" i="3"/>
  <c r="AB723" i="3"/>
  <c r="O721" i="3"/>
  <c r="J721" i="3"/>
  <c r="AG720" i="3"/>
  <c r="O718" i="3"/>
  <c r="J718" i="3"/>
  <c r="AG717" i="3"/>
  <c r="O715" i="3"/>
  <c r="E715" i="3"/>
  <c r="AB714" i="3"/>
  <c r="O712" i="3"/>
  <c r="J712" i="3"/>
  <c r="AG711" i="3"/>
  <c r="T709" i="3"/>
  <c r="E709" i="3"/>
  <c r="AG708" i="3"/>
  <c r="AO706" i="3"/>
  <c r="O706" i="3"/>
  <c r="E706" i="3"/>
  <c r="AO705" i="3"/>
  <c r="AL705" i="3"/>
  <c r="AL706" i="3" s="1"/>
  <c r="AJ705" i="3"/>
  <c r="AJ706" i="3" s="1"/>
  <c r="AG705" i="3"/>
  <c r="O703" i="3"/>
  <c r="E703" i="3"/>
  <c r="AL702" i="3"/>
  <c r="AB702" i="3"/>
  <c r="O700" i="3"/>
  <c r="J700" i="3"/>
  <c r="AL699" i="3"/>
  <c r="AG699" i="3"/>
  <c r="O697" i="3"/>
  <c r="E697" i="3"/>
  <c r="AL696" i="3"/>
  <c r="AG696" i="3"/>
  <c r="O694" i="3"/>
  <c r="E694" i="3"/>
  <c r="AL693" i="3"/>
  <c r="AG693" i="3"/>
  <c r="O691" i="3"/>
  <c r="J691" i="3"/>
  <c r="AQ690" i="3"/>
  <c r="AB690" i="3"/>
  <c r="O688" i="3"/>
  <c r="J688" i="3"/>
  <c r="AL687" i="3"/>
  <c r="AG687" i="3"/>
  <c r="O685" i="3"/>
  <c r="J685" i="3"/>
  <c r="J802" i="3" s="1"/>
  <c r="J803" i="3" s="1"/>
  <c r="U806" i="3" s="1"/>
  <c r="AL684" i="3"/>
  <c r="AG684" i="3"/>
  <c r="O682" i="3"/>
  <c r="E682" i="3"/>
  <c r="E802" i="3" s="1"/>
  <c r="E803" i="3" s="1"/>
  <c r="P806" i="3" s="1"/>
  <c r="AQ681" i="3"/>
  <c r="AG681" i="3"/>
  <c r="R679" i="3"/>
  <c r="AQ678" i="3"/>
  <c r="AG678" i="3"/>
  <c r="R678" i="3"/>
  <c r="M678" i="3"/>
  <c r="M679" i="3" s="1"/>
  <c r="AQ675" i="3"/>
  <c r="AG675" i="3"/>
  <c r="O675" i="3"/>
  <c r="AL672" i="3"/>
  <c r="AG672" i="3"/>
  <c r="T672" i="3"/>
  <c r="AL669" i="3"/>
  <c r="AG669" i="3"/>
  <c r="O669" i="3"/>
  <c r="AL666" i="3"/>
  <c r="AG666" i="3"/>
  <c r="T666" i="3"/>
  <c r="AQ663" i="3"/>
  <c r="AB663" i="3"/>
  <c r="O663" i="3"/>
  <c r="AQ660" i="3"/>
  <c r="AG660" i="3"/>
  <c r="O660" i="3"/>
  <c r="H658" i="3"/>
  <c r="AL657" i="3"/>
  <c r="AG657" i="3"/>
  <c r="O657" i="3"/>
  <c r="H657" i="3"/>
  <c r="E657" i="3"/>
  <c r="E658" i="3" s="1"/>
  <c r="C657" i="3"/>
  <c r="C658" i="3" s="1"/>
  <c r="AL654" i="3"/>
  <c r="AG654" i="3"/>
  <c r="T654" i="3"/>
  <c r="E654" i="3"/>
  <c r="AL651" i="3"/>
  <c r="AG651" i="3"/>
  <c r="T651" i="3"/>
  <c r="E651" i="3"/>
  <c r="AQ648" i="3"/>
  <c r="AG648" i="3"/>
  <c r="O648" i="3"/>
  <c r="J648" i="3"/>
  <c r="J657" i="3" s="1"/>
  <c r="J658" i="3" s="1"/>
  <c r="AQ645" i="3"/>
  <c r="AB645" i="3"/>
  <c r="T645" i="3"/>
  <c r="J645" i="3"/>
  <c r="AL642" i="3"/>
  <c r="AG642" i="3"/>
  <c r="O642" i="3"/>
  <c r="J642" i="3"/>
  <c r="T640" i="3"/>
  <c r="AL639" i="3"/>
  <c r="AB639" i="3"/>
  <c r="E639" i="3"/>
  <c r="AQ636" i="3"/>
  <c r="AG636" i="3"/>
  <c r="O636" i="3"/>
  <c r="E636" i="3"/>
  <c r="T634" i="3"/>
  <c r="AL633" i="3"/>
  <c r="AG633" i="3"/>
  <c r="E633" i="3"/>
  <c r="AL630" i="3"/>
  <c r="AG630" i="3"/>
  <c r="O630" i="3"/>
  <c r="J630" i="3"/>
  <c r="AL627" i="3"/>
  <c r="AB627" i="3"/>
  <c r="O627" i="3"/>
  <c r="E627" i="3"/>
  <c r="AL624" i="3"/>
  <c r="AB624" i="3"/>
  <c r="O624" i="3"/>
  <c r="E624" i="3"/>
  <c r="AL621" i="3"/>
  <c r="AG621" i="3"/>
  <c r="O621" i="3"/>
  <c r="J621" i="3"/>
  <c r="T619" i="3"/>
  <c r="AL618" i="3"/>
  <c r="AG618" i="3"/>
  <c r="J618" i="3"/>
  <c r="T616" i="3"/>
  <c r="AL615" i="3"/>
  <c r="AG615" i="3"/>
  <c r="E615" i="3"/>
  <c r="AL612" i="3"/>
  <c r="AB612" i="3"/>
  <c r="O612" i="3"/>
  <c r="J612" i="3"/>
  <c r="AQ609" i="3"/>
  <c r="AG609" i="3"/>
  <c r="O609" i="3"/>
  <c r="J609" i="3"/>
  <c r="AL606" i="3"/>
  <c r="AB606" i="3"/>
  <c r="T606" i="3"/>
  <c r="E606" i="3"/>
  <c r="AQ603" i="3"/>
  <c r="AG603" i="3"/>
  <c r="O603" i="3"/>
  <c r="E603" i="3"/>
  <c r="AL600" i="3"/>
  <c r="AB600" i="3"/>
  <c r="T600" i="3"/>
  <c r="E600" i="3"/>
  <c r="AL597" i="3"/>
  <c r="AB597" i="3"/>
  <c r="T597" i="3"/>
  <c r="J597" i="3"/>
  <c r="O594" i="3"/>
  <c r="E594" i="3"/>
  <c r="AE592" i="3"/>
  <c r="AE591" i="3"/>
  <c r="O591" i="3"/>
  <c r="E591" i="3"/>
  <c r="Z590" i="3"/>
  <c r="Z591" i="3" s="1"/>
  <c r="O588" i="3"/>
  <c r="E588" i="3"/>
  <c r="AG587" i="3"/>
  <c r="O585" i="3"/>
  <c r="J585" i="3"/>
  <c r="AB584" i="3"/>
  <c r="O582" i="3"/>
  <c r="E582" i="3"/>
  <c r="AG581" i="3"/>
  <c r="O579" i="3"/>
  <c r="E579" i="3"/>
  <c r="AG578" i="3"/>
  <c r="AJ576" i="3"/>
  <c r="O576" i="3"/>
  <c r="J576" i="3"/>
  <c r="AQ575" i="3"/>
  <c r="AQ576" i="3" s="1"/>
  <c r="AO575" i="3"/>
  <c r="AO576" i="3" s="1"/>
  <c r="AJ575" i="3"/>
  <c r="AB575" i="3"/>
  <c r="O573" i="3"/>
  <c r="J573" i="3"/>
  <c r="AQ572" i="3"/>
  <c r="AB572" i="3"/>
  <c r="T570" i="3"/>
  <c r="J570" i="3"/>
  <c r="AL569" i="3"/>
  <c r="AB569" i="3"/>
  <c r="T567" i="3"/>
  <c r="J567" i="3"/>
  <c r="AL566" i="3"/>
  <c r="AG566" i="3"/>
  <c r="O564" i="3"/>
  <c r="E564" i="3"/>
  <c r="AL563" i="3"/>
  <c r="AG563" i="3"/>
  <c r="T561" i="3"/>
  <c r="E561" i="3"/>
  <c r="AL560" i="3"/>
  <c r="AB560" i="3"/>
  <c r="O558" i="3"/>
  <c r="J558" i="3"/>
  <c r="AL557" i="3"/>
  <c r="AB557" i="3"/>
  <c r="T555" i="3"/>
  <c r="J555" i="3"/>
  <c r="AL554" i="3"/>
  <c r="AB554" i="3"/>
  <c r="O552" i="3"/>
  <c r="J552" i="3"/>
  <c r="AL551" i="3"/>
  <c r="AG551" i="3"/>
  <c r="T549" i="3"/>
  <c r="J549" i="3"/>
  <c r="AQ548" i="3"/>
  <c r="AG548" i="3"/>
  <c r="T546" i="3"/>
  <c r="E546" i="3"/>
  <c r="AQ545" i="3"/>
  <c r="AB545" i="3"/>
  <c r="T543" i="3"/>
  <c r="E543" i="3"/>
  <c r="AQ542" i="3"/>
  <c r="AG542" i="3"/>
  <c r="O540" i="3"/>
  <c r="E540" i="3"/>
  <c r="AL539" i="3"/>
  <c r="AG539" i="3"/>
  <c r="T537" i="3"/>
  <c r="J537" i="3"/>
  <c r="AL536" i="3"/>
  <c r="AG536" i="3"/>
  <c r="T534" i="3"/>
  <c r="J534" i="3"/>
  <c r="AQ533" i="3"/>
  <c r="AG533" i="3"/>
  <c r="T531" i="3"/>
  <c r="J531" i="3"/>
  <c r="AQ530" i="3"/>
  <c r="AG530" i="3"/>
  <c r="T528" i="3"/>
  <c r="J528" i="3"/>
  <c r="AL527" i="3"/>
  <c r="AG527" i="3"/>
  <c r="O525" i="3"/>
  <c r="E525" i="3"/>
  <c r="AQ524" i="3"/>
  <c r="AB524" i="3"/>
  <c r="T522" i="3"/>
  <c r="J522" i="3"/>
  <c r="AQ521" i="3"/>
  <c r="AB521" i="3"/>
  <c r="T519" i="3"/>
  <c r="J519" i="3"/>
  <c r="AQ518" i="3"/>
  <c r="AB518" i="3"/>
  <c r="T516" i="3"/>
  <c r="E516" i="3"/>
  <c r="AL515" i="3"/>
  <c r="AG515" i="3"/>
  <c r="T513" i="3"/>
  <c r="E513" i="3"/>
  <c r="AQ512" i="3"/>
  <c r="AB512" i="3"/>
  <c r="O510" i="3"/>
  <c r="J510" i="3"/>
  <c r="AL509" i="3"/>
  <c r="AG509" i="3"/>
  <c r="T507" i="3"/>
  <c r="J507" i="3"/>
  <c r="AL506" i="3"/>
  <c r="AG506" i="3"/>
  <c r="T504" i="3"/>
  <c r="J504" i="3"/>
  <c r="AL503" i="3"/>
  <c r="AB503" i="3"/>
  <c r="T501" i="3"/>
  <c r="J501" i="3"/>
  <c r="AL500" i="3"/>
  <c r="AB500" i="3"/>
  <c r="O498" i="3"/>
  <c r="E498" i="3"/>
  <c r="AL497" i="3"/>
  <c r="AG497" i="3"/>
  <c r="T496" i="3"/>
  <c r="J495" i="3"/>
  <c r="AL494" i="3"/>
  <c r="AB494" i="3"/>
  <c r="T493" i="3"/>
  <c r="E492" i="3"/>
  <c r="AQ491" i="3"/>
  <c r="AB491" i="3"/>
  <c r="T490" i="3"/>
  <c r="J489" i="3"/>
  <c r="AQ488" i="3"/>
  <c r="AG488" i="3"/>
  <c r="O486" i="3"/>
  <c r="J486" i="3"/>
  <c r="AB485" i="3"/>
  <c r="O483" i="3"/>
  <c r="J483" i="3"/>
  <c r="AL482" i="3"/>
  <c r="AG482" i="3"/>
  <c r="AL479" i="3"/>
  <c r="AB479" i="3"/>
  <c r="AL476" i="3"/>
  <c r="AG476" i="3"/>
  <c r="T476" i="3"/>
  <c r="T477" i="3" s="1"/>
  <c r="R476" i="3"/>
  <c r="R477" i="3" s="1"/>
  <c r="M476" i="3"/>
  <c r="M477" i="3" s="1"/>
  <c r="AQ473" i="3"/>
  <c r="AG473" i="3"/>
  <c r="O473" i="3"/>
  <c r="O476" i="3" s="1"/>
  <c r="O477" i="3" s="1"/>
  <c r="AL470" i="3"/>
  <c r="AB470" i="3"/>
  <c r="O470" i="3"/>
  <c r="AL467" i="3"/>
  <c r="AG467" i="3"/>
  <c r="O467" i="3"/>
  <c r="AL464" i="3"/>
  <c r="AB464" i="3"/>
  <c r="T464" i="3"/>
  <c r="AL461" i="3"/>
  <c r="AB461" i="3"/>
  <c r="O461" i="3"/>
  <c r="AL458" i="3"/>
  <c r="AB458" i="3"/>
  <c r="T458" i="3"/>
  <c r="C456" i="3"/>
  <c r="AL455" i="3"/>
  <c r="AB455" i="3"/>
  <c r="O455" i="3"/>
  <c r="H455" i="3"/>
  <c r="H456" i="3" s="1"/>
  <c r="H458" i="3" s="1"/>
  <c r="C455" i="3"/>
  <c r="AL452" i="3"/>
  <c r="AG452" i="3"/>
  <c r="O452" i="3"/>
  <c r="E452" i="3"/>
  <c r="AL449" i="3"/>
  <c r="AB449" i="3"/>
  <c r="T449" i="3"/>
  <c r="E449" i="3"/>
  <c r="AL446" i="3"/>
  <c r="AB446" i="3"/>
  <c r="T446" i="3"/>
  <c r="J446" i="3"/>
  <c r="AQ443" i="3"/>
  <c r="AG443" i="3"/>
  <c r="AG591" i="3" s="1"/>
  <c r="AG592" i="3" s="1"/>
  <c r="O443" i="3"/>
  <c r="J443" i="3"/>
  <c r="AL440" i="3"/>
  <c r="AB440" i="3"/>
  <c r="O440" i="3"/>
  <c r="J440" i="3"/>
  <c r="AL437" i="3"/>
  <c r="AL575" i="3" s="1"/>
  <c r="AL576" i="3" s="1"/>
  <c r="AB437" i="3"/>
  <c r="AB590" i="3" s="1"/>
  <c r="AB591" i="3" s="1"/>
  <c r="O437" i="3"/>
  <c r="J437" i="3"/>
  <c r="O434" i="3"/>
  <c r="E434" i="3"/>
  <c r="O431" i="3"/>
  <c r="J431" i="3"/>
  <c r="O428" i="3"/>
  <c r="J428" i="3"/>
  <c r="O425" i="3"/>
  <c r="J425" i="3"/>
  <c r="O422" i="3"/>
  <c r="J422" i="3"/>
  <c r="O419" i="3"/>
  <c r="J419" i="3"/>
  <c r="O416" i="3"/>
  <c r="E416" i="3"/>
  <c r="O413" i="3"/>
  <c r="E413" i="3"/>
  <c r="AE411" i="3"/>
  <c r="AA411" i="3"/>
  <c r="O410" i="3"/>
  <c r="J410" i="3"/>
  <c r="AE409" i="3"/>
  <c r="AA409" i="3"/>
  <c r="AE407" i="3"/>
  <c r="AA407" i="3"/>
  <c r="T407" i="3"/>
  <c r="E407" i="3"/>
  <c r="AE405" i="3"/>
  <c r="AA405" i="3"/>
  <c r="T404" i="3"/>
  <c r="E404" i="3"/>
  <c r="AE403" i="3"/>
  <c r="AA403" i="3"/>
  <c r="AE401" i="3"/>
  <c r="AA401" i="3"/>
  <c r="T401" i="3"/>
  <c r="E401" i="3"/>
  <c r="AE399" i="3"/>
  <c r="AA399" i="3"/>
  <c r="O398" i="3"/>
  <c r="E398" i="3"/>
  <c r="AE397" i="3"/>
  <c r="AE413" i="3" s="1"/>
  <c r="AA397" i="3"/>
  <c r="AA413" i="3" s="1"/>
  <c r="AE395" i="3"/>
  <c r="AA395" i="3"/>
  <c r="O395" i="3"/>
  <c r="J395" i="3"/>
  <c r="AE393" i="3"/>
  <c r="AA393" i="3"/>
  <c r="O392" i="3"/>
  <c r="J392" i="3"/>
  <c r="T389" i="3"/>
  <c r="J389" i="3"/>
  <c r="AE388" i="3"/>
  <c r="AA388" i="3"/>
  <c r="AE386" i="3"/>
  <c r="AA386" i="3"/>
  <c r="T386" i="3"/>
  <c r="J386" i="3"/>
  <c r="AE384" i="3"/>
  <c r="AA384" i="3"/>
  <c r="O383" i="3"/>
  <c r="E383" i="3"/>
  <c r="AE382" i="3"/>
  <c r="AA382" i="3"/>
  <c r="AE380" i="3"/>
  <c r="AA380" i="3"/>
  <c r="O380" i="3"/>
  <c r="J380" i="3"/>
  <c r="AE378" i="3"/>
  <c r="AA378" i="3"/>
  <c r="O377" i="3"/>
  <c r="J377" i="3"/>
  <c r="AE376" i="3"/>
  <c r="AA376" i="3"/>
  <c r="AE374" i="3"/>
  <c r="AA374" i="3"/>
  <c r="O374" i="3"/>
  <c r="J374" i="3"/>
  <c r="AE372" i="3"/>
  <c r="AA372" i="3"/>
  <c r="O371" i="3"/>
  <c r="E371" i="3"/>
  <c r="AE370" i="3"/>
  <c r="AE390" i="3" s="1"/>
  <c r="AA370" i="3"/>
  <c r="AA390" i="3" s="1"/>
  <c r="O368" i="3"/>
  <c r="E368" i="3"/>
  <c r="AE365" i="3"/>
  <c r="AA365" i="3"/>
  <c r="O365" i="3"/>
  <c r="J365" i="3"/>
  <c r="AE363" i="3"/>
  <c r="AA363" i="3"/>
  <c r="T362" i="3"/>
  <c r="J362" i="3"/>
  <c r="AE361" i="3"/>
  <c r="AA361" i="3"/>
  <c r="AE359" i="3"/>
  <c r="AA359" i="3"/>
  <c r="O359" i="3"/>
  <c r="E359" i="3"/>
  <c r="AE357" i="3"/>
  <c r="AA357" i="3"/>
  <c r="O356" i="3"/>
  <c r="J356" i="3"/>
  <c r="AE355" i="3"/>
  <c r="AA355" i="3"/>
  <c r="AE353" i="3"/>
  <c r="AA353" i="3"/>
  <c r="T353" i="3"/>
  <c r="E353" i="3"/>
  <c r="AE351" i="3"/>
  <c r="AA351" i="3"/>
  <c r="T350" i="3"/>
  <c r="E350" i="3"/>
  <c r="AE349" i="3"/>
  <c r="AA349" i="3"/>
  <c r="AE347" i="3"/>
  <c r="AE367" i="3" s="1"/>
  <c r="AA347" i="3"/>
  <c r="AA367" i="3" s="1"/>
  <c r="T347" i="3"/>
  <c r="E347" i="3"/>
  <c r="O344" i="3"/>
  <c r="J344" i="3"/>
  <c r="AE342" i="3"/>
  <c r="AA342" i="3"/>
  <c r="O341" i="3"/>
  <c r="E341" i="3"/>
  <c r="AE340" i="3"/>
  <c r="AA340" i="3"/>
  <c r="AE338" i="3"/>
  <c r="AA338" i="3"/>
  <c r="AE336" i="3"/>
  <c r="AA336" i="3"/>
  <c r="AA344" i="3" s="1"/>
  <c r="R335" i="3"/>
  <c r="I335" i="3"/>
  <c r="D335" i="3"/>
  <c r="C335" i="3"/>
  <c r="AE334" i="3"/>
  <c r="AA334" i="3"/>
  <c r="S334" i="3"/>
  <c r="S335" i="3" s="1"/>
  <c r="R334" i="3"/>
  <c r="N334" i="3"/>
  <c r="N335" i="3" s="1"/>
  <c r="M334" i="3"/>
  <c r="M335" i="3" s="1"/>
  <c r="I334" i="3"/>
  <c r="H334" i="3"/>
  <c r="H335" i="3" s="1"/>
  <c r="D334" i="3"/>
  <c r="C334" i="3"/>
  <c r="AE332" i="3"/>
  <c r="AA332" i="3"/>
  <c r="T332" i="3"/>
  <c r="O332" i="3"/>
  <c r="J332" i="3"/>
  <c r="E332" i="3"/>
  <c r="AE330" i="3"/>
  <c r="AA330" i="3"/>
  <c r="T330" i="3"/>
  <c r="O330" i="3"/>
  <c r="J330" i="3"/>
  <c r="E330" i="3"/>
  <c r="AE328" i="3"/>
  <c r="AA328" i="3"/>
  <c r="T328" i="3"/>
  <c r="O328" i="3"/>
  <c r="J328" i="3"/>
  <c r="E328" i="3"/>
  <c r="AE326" i="3"/>
  <c r="AA326" i="3"/>
  <c r="T326" i="3"/>
  <c r="O326" i="3"/>
  <c r="J326" i="3"/>
  <c r="E326" i="3"/>
  <c r="AE324" i="3"/>
  <c r="AE344" i="3" s="1"/>
  <c r="AA324" i="3"/>
  <c r="T324" i="3"/>
  <c r="O324" i="3"/>
  <c r="J324" i="3"/>
  <c r="E324" i="3"/>
  <c r="T322" i="3"/>
  <c r="O322" i="3"/>
  <c r="J322" i="3"/>
  <c r="E322" i="3"/>
  <c r="T320" i="3"/>
  <c r="O320" i="3"/>
  <c r="J320" i="3"/>
  <c r="E320" i="3"/>
  <c r="AE319" i="3"/>
  <c r="AA319" i="3"/>
  <c r="T318" i="3"/>
  <c r="O318" i="3"/>
  <c r="J318" i="3"/>
  <c r="E318" i="3"/>
  <c r="AE317" i="3"/>
  <c r="AA317" i="3"/>
  <c r="T316" i="3"/>
  <c r="O316" i="3"/>
  <c r="J316" i="3"/>
  <c r="E316" i="3"/>
  <c r="AE315" i="3"/>
  <c r="AA315" i="3"/>
  <c r="T314" i="3"/>
  <c r="T334" i="3" s="1"/>
  <c r="T335" i="3" s="1"/>
  <c r="O314" i="3"/>
  <c r="J314" i="3"/>
  <c r="J334" i="3" s="1"/>
  <c r="J335" i="3" s="1"/>
  <c r="E314" i="3"/>
  <c r="E334" i="3" s="1"/>
  <c r="E335" i="3" s="1"/>
  <c r="AE313" i="3"/>
  <c r="AA313" i="3"/>
  <c r="AE311" i="3"/>
  <c r="AA311" i="3"/>
  <c r="AE309" i="3"/>
  <c r="AA309" i="3"/>
  <c r="K308" i="3"/>
  <c r="J308" i="3"/>
  <c r="AE307" i="3"/>
  <c r="AA307" i="3"/>
  <c r="K307" i="3"/>
  <c r="J307" i="3"/>
  <c r="K306" i="3"/>
  <c r="K310" i="3" s="1"/>
  <c r="J306" i="3"/>
  <c r="AE305" i="3"/>
  <c r="AA305" i="3"/>
  <c r="AE303" i="3"/>
  <c r="AA303" i="3"/>
  <c r="AE301" i="3"/>
  <c r="AE321" i="3" s="1"/>
  <c r="AA301" i="3"/>
  <c r="AA321" i="3" s="1"/>
  <c r="AE296" i="3"/>
  <c r="AA296" i="3"/>
  <c r="AE294" i="3"/>
  <c r="AA294" i="3"/>
  <c r="AE292" i="3"/>
  <c r="AA292" i="3"/>
  <c r="AE290" i="3"/>
  <c r="AA290" i="3"/>
  <c r="AE288" i="3"/>
  <c r="AA288" i="3"/>
  <c r="AE286" i="3"/>
  <c r="AA286" i="3"/>
  <c r="AE284" i="3"/>
  <c r="AA284" i="3"/>
  <c r="AE282" i="3"/>
  <c r="AA282" i="3"/>
  <c r="AE280" i="3"/>
  <c r="AA280" i="3"/>
  <c r="AE278" i="3"/>
  <c r="AA278" i="3"/>
  <c r="AA298" i="3" s="1"/>
  <c r="AE275" i="3"/>
  <c r="AE273" i="3"/>
  <c r="AA273" i="3"/>
  <c r="J273" i="3"/>
  <c r="G273" i="3"/>
  <c r="K272" i="3"/>
  <c r="AE271" i="3"/>
  <c r="AA271" i="3"/>
  <c r="L271" i="3"/>
  <c r="K271" i="3"/>
  <c r="AE269" i="3"/>
  <c r="AA269" i="3"/>
  <c r="AE267" i="3"/>
  <c r="AA267" i="3"/>
  <c r="G266" i="3"/>
  <c r="F266" i="3"/>
  <c r="C266" i="3"/>
  <c r="C269" i="3" s="1"/>
  <c r="B266" i="3"/>
  <c r="AE265" i="3"/>
  <c r="AA265" i="3"/>
  <c r="AE263" i="3"/>
  <c r="AA263" i="3"/>
  <c r="AE261" i="3"/>
  <c r="AA261" i="3"/>
  <c r="AE259" i="3"/>
  <c r="AA259" i="3"/>
  <c r="AE257" i="3"/>
  <c r="AA257" i="3"/>
  <c r="AE255" i="3"/>
  <c r="AA255" i="3"/>
  <c r="G254" i="3"/>
  <c r="F254" i="3"/>
  <c r="C254" i="3"/>
  <c r="B254" i="3"/>
  <c r="AE250" i="3"/>
  <c r="AA250" i="3"/>
  <c r="AE248" i="3"/>
  <c r="AA248" i="3"/>
  <c r="AE246" i="3"/>
  <c r="AA246" i="3"/>
  <c r="AE244" i="3"/>
  <c r="AA244" i="3"/>
  <c r="AE242" i="3"/>
  <c r="AA242" i="3"/>
  <c r="G242" i="3"/>
  <c r="F242" i="3"/>
  <c r="C242" i="3"/>
  <c r="B242" i="3"/>
  <c r="AE240" i="3"/>
  <c r="AA240" i="3"/>
  <c r="AE238" i="3"/>
  <c r="AA238" i="3"/>
  <c r="AE236" i="3"/>
  <c r="AA236" i="3"/>
  <c r="AE234" i="3"/>
  <c r="AA234" i="3"/>
  <c r="AE232" i="3"/>
  <c r="AE252" i="3" s="1"/>
  <c r="AA232" i="3"/>
  <c r="G230" i="3"/>
  <c r="F230" i="3"/>
  <c r="C230" i="3"/>
  <c r="B230" i="3"/>
  <c r="AM227" i="3"/>
  <c r="AI227" i="3"/>
  <c r="AE227" i="3"/>
  <c r="AA227" i="3"/>
  <c r="AM225" i="3"/>
  <c r="AI225" i="3"/>
  <c r="AE225" i="3"/>
  <c r="AA225" i="3"/>
  <c r="AM223" i="3"/>
  <c r="AI223" i="3"/>
  <c r="AE223" i="3"/>
  <c r="AA223" i="3"/>
  <c r="AM221" i="3"/>
  <c r="AI221" i="3"/>
  <c r="AE221" i="3"/>
  <c r="AA221" i="3"/>
  <c r="AM219" i="3"/>
  <c r="AI219" i="3"/>
  <c r="AI229" i="3" s="1"/>
  <c r="AE219" i="3"/>
  <c r="AA219" i="3"/>
  <c r="C218" i="3"/>
  <c r="B218" i="3"/>
  <c r="AM217" i="3"/>
  <c r="AI217" i="3"/>
  <c r="AE217" i="3"/>
  <c r="AA217" i="3"/>
  <c r="AM215" i="3"/>
  <c r="AI215" i="3"/>
  <c r="AE215" i="3"/>
  <c r="AA215" i="3"/>
  <c r="AM213" i="3"/>
  <c r="AI213" i="3"/>
  <c r="AE213" i="3"/>
  <c r="AA213" i="3"/>
  <c r="AM211" i="3"/>
  <c r="AI211" i="3"/>
  <c r="AE211" i="3"/>
  <c r="AA211" i="3"/>
  <c r="AM209" i="3"/>
  <c r="AM229" i="3" s="1"/>
  <c r="AI209" i="3"/>
  <c r="AE209" i="3"/>
  <c r="AE229" i="3" s="1"/>
  <c r="AA209" i="3"/>
  <c r="AA229" i="3" s="1"/>
  <c r="G206" i="3"/>
  <c r="F206" i="3"/>
  <c r="C206" i="3"/>
  <c r="B206" i="3"/>
  <c r="AM204" i="3"/>
  <c r="AI204" i="3"/>
  <c r="AE204" i="3"/>
  <c r="AA204" i="3"/>
  <c r="AM202" i="3"/>
  <c r="AI202" i="3"/>
  <c r="AE202" i="3"/>
  <c r="AA202" i="3"/>
  <c r="AM200" i="3"/>
  <c r="AI200" i="3"/>
  <c r="AE200" i="3"/>
  <c r="AA200" i="3"/>
  <c r="AM198" i="3"/>
  <c r="AI198" i="3"/>
  <c r="AE198" i="3"/>
  <c r="AA198" i="3"/>
  <c r="AM196" i="3"/>
  <c r="AI196" i="3"/>
  <c r="AE196" i="3"/>
  <c r="AA196" i="3"/>
  <c r="AM194" i="3"/>
  <c r="AI194" i="3"/>
  <c r="AE194" i="3"/>
  <c r="AA194" i="3"/>
  <c r="G194" i="3"/>
  <c r="F194" i="3"/>
  <c r="C194" i="3"/>
  <c r="B194" i="3"/>
  <c r="AM192" i="3"/>
  <c r="AI192" i="3"/>
  <c r="AE192" i="3"/>
  <c r="AA192" i="3"/>
  <c r="AM190" i="3"/>
  <c r="AI190" i="3"/>
  <c r="AE190" i="3"/>
  <c r="AA190" i="3"/>
  <c r="AM188" i="3"/>
  <c r="AI188" i="3"/>
  <c r="AE188" i="3"/>
  <c r="AA188" i="3"/>
  <c r="AM186" i="3"/>
  <c r="AM206" i="3" s="1"/>
  <c r="AI186" i="3"/>
  <c r="AI206" i="3" s="1"/>
  <c r="AE186" i="3"/>
  <c r="AE206" i="3" s="1"/>
  <c r="AA186" i="3"/>
  <c r="AA206" i="3" s="1"/>
  <c r="G182" i="3"/>
  <c r="F182" i="3"/>
  <c r="C182" i="3"/>
  <c r="B182" i="3"/>
  <c r="AM181" i="3"/>
  <c r="AI181" i="3"/>
  <c r="AE181" i="3"/>
  <c r="AA181" i="3"/>
  <c r="AM179" i="3"/>
  <c r="AI179" i="3"/>
  <c r="AE179" i="3"/>
  <c r="AA179" i="3"/>
  <c r="AM177" i="3"/>
  <c r="AI177" i="3"/>
  <c r="AE177" i="3"/>
  <c r="AA177" i="3"/>
  <c r="AM175" i="3"/>
  <c r="AI175" i="3"/>
  <c r="AE175" i="3"/>
  <c r="AA175" i="3"/>
  <c r="AM173" i="3"/>
  <c r="AI173" i="3"/>
  <c r="AE173" i="3"/>
  <c r="AA173" i="3"/>
  <c r="AM171" i="3"/>
  <c r="AI171" i="3"/>
  <c r="AE171" i="3"/>
  <c r="AA171" i="3"/>
  <c r="G170" i="3"/>
  <c r="F170" i="3"/>
  <c r="C170" i="3"/>
  <c r="B170" i="3"/>
  <c r="AM169" i="3"/>
  <c r="AI169" i="3"/>
  <c r="AE169" i="3"/>
  <c r="AA169" i="3"/>
  <c r="AM167" i="3"/>
  <c r="AI167" i="3"/>
  <c r="AE167" i="3"/>
  <c r="AA167" i="3"/>
  <c r="AM165" i="3"/>
  <c r="AI165" i="3"/>
  <c r="AE165" i="3"/>
  <c r="AA165" i="3"/>
  <c r="AM163" i="3"/>
  <c r="AM183" i="3" s="1"/>
  <c r="AI163" i="3"/>
  <c r="AI183" i="3" s="1"/>
  <c r="AE163" i="3"/>
  <c r="AE183" i="3" s="1"/>
  <c r="AA163" i="3"/>
  <c r="AA183" i="3" s="1"/>
  <c r="AM158" i="3"/>
  <c r="AI158" i="3"/>
  <c r="AE158" i="3"/>
  <c r="AA158" i="3"/>
  <c r="G158" i="3"/>
  <c r="F158" i="3"/>
  <c r="C158" i="3"/>
  <c r="B158" i="3"/>
  <c r="AM156" i="3"/>
  <c r="AI156" i="3"/>
  <c r="AE156" i="3"/>
  <c r="AA156" i="3"/>
  <c r="AM154" i="3"/>
  <c r="AI154" i="3"/>
  <c r="AE154" i="3"/>
  <c r="AA154" i="3"/>
  <c r="AM152" i="3"/>
  <c r="AI152" i="3"/>
  <c r="AE152" i="3"/>
  <c r="AA152" i="3"/>
  <c r="AM150" i="3"/>
  <c r="AI150" i="3"/>
  <c r="AE150" i="3"/>
  <c r="AA150" i="3"/>
  <c r="AM148" i="3"/>
  <c r="AI148" i="3"/>
  <c r="AE148" i="3"/>
  <c r="AA148" i="3"/>
  <c r="AM146" i="3"/>
  <c r="AI146" i="3"/>
  <c r="AE146" i="3"/>
  <c r="AA146" i="3"/>
  <c r="G145" i="3"/>
  <c r="F145" i="3"/>
  <c r="C145" i="3"/>
  <c r="B145" i="3"/>
  <c r="AM144" i="3"/>
  <c r="AI144" i="3"/>
  <c r="AE144" i="3"/>
  <c r="AA144" i="3"/>
  <c r="AM142" i="3"/>
  <c r="AI142" i="3"/>
  <c r="AE142" i="3"/>
  <c r="AA142" i="3"/>
  <c r="AM140" i="3"/>
  <c r="AM160" i="3" s="1"/>
  <c r="AI140" i="3"/>
  <c r="AI160" i="3" s="1"/>
  <c r="AE140" i="3"/>
  <c r="AE160" i="3" s="1"/>
  <c r="AA140" i="3"/>
  <c r="AA160" i="3" s="1"/>
  <c r="AM135" i="3"/>
  <c r="AI135" i="3"/>
  <c r="AE135" i="3"/>
  <c r="AA135" i="3"/>
  <c r="AM133" i="3"/>
  <c r="AI133" i="3"/>
  <c r="AE133" i="3"/>
  <c r="AA133" i="3"/>
  <c r="G132" i="3"/>
  <c r="F132" i="3"/>
  <c r="C132" i="3"/>
  <c r="B132" i="3"/>
  <c r="AM131" i="3"/>
  <c r="AI131" i="3"/>
  <c r="AE131" i="3"/>
  <c r="AA131" i="3"/>
  <c r="AM129" i="3"/>
  <c r="AI129" i="3"/>
  <c r="AE129" i="3"/>
  <c r="AA129" i="3"/>
  <c r="AM127" i="3"/>
  <c r="AI127" i="3"/>
  <c r="AE127" i="3"/>
  <c r="AA127" i="3"/>
  <c r="AM125" i="3"/>
  <c r="AI125" i="3"/>
  <c r="AE125" i="3"/>
  <c r="AA125" i="3"/>
  <c r="AM123" i="3"/>
  <c r="AI123" i="3"/>
  <c r="AE123" i="3"/>
  <c r="AA123" i="3"/>
  <c r="AM121" i="3"/>
  <c r="AI121" i="3"/>
  <c r="AE121" i="3"/>
  <c r="AA121" i="3"/>
  <c r="AM119" i="3"/>
  <c r="AI119" i="3"/>
  <c r="AE119" i="3"/>
  <c r="AA119" i="3"/>
  <c r="G119" i="3"/>
  <c r="F119" i="3"/>
  <c r="C119" i="3"/>
  <c r="B119" i="3"/>
  <c r="N118" i="3"/>
  <c r="M118" i="3"/>
  <c r="K118" i="3"/>
  <c r="K269" i="3" s="1"/>
  <c r="J118" i="3"/>
  <c r="J269" i="3" s="1"/>
  <c r="L269" i="3" s="1"/>
  <c r="AM117" i="3"/>
  <c r="AM137" i="3" s="1"/>
  <c r="AI117" i="3"/>
  <c r="AI137" i="3" s="1"/>
  <c r="AE117" i="3"/>
  <c r="AE137" i="3" s="1"/>
  <c r="AA117" i="3"/>
  <c r="AA137" i="3" s="1"/>
  <c r="AM112" i="3"/>
  <c r="AI112" i="3"/>
  <c r="AE112" i="3"/>
  <c r="AA112" i="3"/>
  <c r="AM110" i="3"/>
  <c r="AI110" i="3"/>
  <c r="AE110" i="3"/>
  <c r="AA110" i="3"/>
  <c r="AM108" i="3"/>
  <c r="AI108" i="3"/>
  <c r="AE108" i="3"/>
  <c r="AA108" i="3"/>
  <c r="AM106" i="3"/>
  <c r="AI106" i="3"/>
  <c r="AE106" i="3"/>
  <c r="AA106" i="3"/>
  <c r="N106" i="3"/>
  <c r="M106" i="3"/>
  <c r="K106" i="3"/>
  <c r="J106" i="3"/>
  <c r="G106" i="3"/>
  <c r="F106" i="3"/>
  <c r="C106" i="3"/>
  <c r="B106" i="3"/>
  <c r="AM104" i="3"/>
  <c r="AI104" i="3"/>
  <c r="AE104" i="3"/>
  <c r="AA104" i="3"/>
  <c r="AM102" i="3"/>
  <c r="AI102" i="3"/>
  <c r="AE102" i="3"/>
  <c r="AA102" i="3"/>
  <c r="AM100" i="3"/>
  <c r="AI100" i="3"/>
  <c r="AE100" i="3"/>
  <c r="AA100" i="3"/>
  <c r="AM98" i="3"/>
  <c r="AI98" i="3"/>
  <c r="AE98" i="3"/>
  <c r="AA98" i="3"/>
  <c r="AM96" i="3"/>
  <c r="AI96" i="3"/>
  <c r="AE96" i="3"/>
  <c r="AA96" i="3"/>
  <c r="AM94" i="3"/>
  <c r="AM114" i="3" s="1"/>
  <c r="AI94" i="3"/>
  <c r="AI114" i="3" s="1"/>
  <c r="AE94" i="3"/>
  <c r="AE114" i="3" s="1"/>
  <c r="AA94" i="3"/>
  <c r="AA114" i="3" s="1"/>
  <c r="R94" i="3"/>
  <c r="R269" i="3" s="1"/>
  <c r="Q94" i="3"/>
  <c r="N94" i="3"/>
  <c r="M94" i="3"/>
  <c r="K94" i="3"/>
  <c r="J94" i="3"/>
  <c r="G94" i="3"/>
  <c r="F94" i="3"/>
  <c r="C94" i="3"/>
  <c r="B94" i="3"/>
  <c r="AI91" i="3"/>
  <c r="AM89" i="3"/>
  <c r="AI89" i="3"/>
  <c r="AE89" i="3"/>
  <c r="AA89" i="3"/>
  <c r="AM87" i="3"/>
  <c r="AI87" i="3"/>
  <c r="AE87" i="3"/>
  <c r="AA87" i="3"/>
  <c r="AM85" i="3"/>
  <c r="AI85" i="3"/>
  <c r="AE85" i="3"/>
  <c r="AA85" i="3"/>
  <c r="AM83" i="3"/>
  <c r="AI83" i="3"/>
  <c r="AE83" i="3"/>
  <c r="AA83" i="3"/>
  <c r="U82" i="3"/>
  <c r="T82" i="3"/>
  <c r="R82" i="3"/>
  <c r="Q82" i="3"/>
  <c r="N82" i="3"/>
  <c r="M82" i="3"/>
  <c r="K82" i="3"/>
  <c r="J82" i="3"/>
  <c r="G82" i="3"/>
  <c r="F82" i="3"/>
  <c r="C82" i="3"/>
  <c r="B82" i="3"/>
  <c r="AM81" i="3"/>
  <c r="AI81" i="3"/>
  <c r="AE81" i="3"/>
  <c r="AA81" i="3"/>
  <c r="AM79" i="3"/>
  <c r="AI79" i="3"/>
  <c r="AE79" i="3"/>
  <c r="AA79" i="3"/>
  <c r="AM77" i="3"/>
  <c r="AI77" i="3"/>
  <c r="AE77" i="3"/>
  <c r="AA77" i="3"/>
  <c r="AM75" i="3"/>
  <c r="AI75" i="3"/>
  <c r="AE75" i="3"/>
  <c r="AA75" i="3"/>
  <c r="AM73" i="3"/>
  <c r="AI73" i="3"/>
  <c r="AE73" i="3"/>
  <c r="AA73" i="3"/>
  <c r="AM71" i="3"/>
  <c r="AM91" i="3" s="1"/>
  <c r="AI71" i="3"/>
  <c r="AE71" i="3"/>
  <c r="AE91" i="3" s="1"/>
  <c r="AA71" i="3"/>
  <c r="AA91" i="3" s="1"/>
  <c r="U70" i="3"/>
  <c r="T70" i="3"/>
  <c r="R70" i="3"/>
  <c r="Q70" i="3"/>
  <c r="N70" i="3"/>
  <c r="N269" i="3" s="1"/>
  <c r="M70" i="3"/>
  <c r="K70" i="3"/>
  <c r="J70" i="3"/>
  <c r="G70" i="3"/>
  <c r="F70" i="3"/>
  <c r="C70" i="3"/>
  <c r="B70" i="3"/>
  <c r="AE67" i="3"/>
  <c r="AA67" i="3"/>
  <c r="AM66" i="3"/>
  <c r="AI66" i="3"/>
  <c r="AE65" i="3"/>
  <c r="AA65" i="3"/>
  <c r="AM64" i="3"/>
  <c r="AI64" i="3"/>
  <c r="AE63" i="3"/>
  <c r="AA63" i="3"/>
  <c r="AM62" i="3"/>
  <c r="AI62" i="3"/>
  <c r="AE61" i="3"/>
  <c r="AA61" i="3"/>
  <c r="AM60" i="3"/>
  <c r="AI60" i="3"/>
  <c r="AE59" i="3"/>
  <c r="AA59" i="3"/>
  <c r="G59" i="3"/>
  <c r="F59" i="3"/>
  <c r="C59" i="3"/>
  <c r="B59" i="3"/>
  <c r="AM58" i="3"/>
  <c r="AI58" i="3"/>
  <c r="U58" i="3"/>
  <c r="T58" i="3"/>
  <c r="R58" i="3"/>
  <c r="Q58" i="3"/>
  <c r="N58" i="3"/>
  <c r="M58" i="3"/>
  <c r="K58" i="3"/>
  <c r="J58" i="3"/>
  <c r="AE57" i="3"/>
  <c r="AA57" i="3"/>
  <c r="AM56" i="3"/>
  <c r="AI56" i="3"/>
  <c r="AE55" i="3"/>
  <c r="AA55" i="3"/>
  <c r="AM54" i="3"/>
  <c r="AI54" i="3"/>
  <c r="AE53" i="3"/>
  <c r="AA53" i="3"/>
  <c r="AM52" i="3"/>
  <c r="AI52" i="3"/>
  <c r="AE51" i="3"/>
  <c r="AA51" i="3"/>
  <c r="AM50" i="3"/>
  <c r="AI50" i="3"/>
  <c r="AE49" i="3"/>
  <c r="AE69" i="3" s="1"/>
  <c r="AA49" i="3"/>
  <c r="AA69" i="3" s="1"/>
  <c r="AM48" i="3"/>
  <c r="AM68" i="3" s="1"/>
  <c r="AI48" i="3"/>
  <c r="AI68" i="3" s="1"/>
  <c r="G47" i="3"/>
  <c r="F47" i="3"/>
  <c r="C47" i="3"/>
  <c r="B47" i="3"/>
  <c r="AM46" i="3"/>
  <c r="AI46" i="3"/>
  <c r="U46" i="3"/>
  <c r="T46" i="3"/>
  <c r="R46" i="3"/>
  <c r="Q46" i="3"/>
  <c r="N46" i="3"/>
  <c r="M46" i="3"/>
  <c r="K46" i="3"/>
  <c r="J46" i="3"/>
  <c r="AM44" i="3"/>
  <c r="AI44" i="3"/>
  <c r="AE44" i="3"/>
  <c r="AA44" i="3"/>
  <c r="AM42" i="3"/>
  <c r="AI42" i="3"/>
  <c r="AE42" i="3"/>
  <c r="AA42" i="3"/>
  <c r="AM40" i="3"/>
  <c r="AI40" i="3"/>
  <c r="AE40" i="3"/>
  <c r="AA40" i="3"/>
  <c r="AM38" i="3"/>
  <c r="AI38" i="3"/>
  <c r="AE38" i="3"/>
  <c r="AA38" i="3"/>
  <c r="AM36" i="3"/>
  <c r="AI36" i="3"/>
  <c r="AE36" i="3"/>
  <c r="AA36" i="3"/>
  <c r="AO35" i="3"/>
  <c r="AM34" i="3"/>
  <c r="AI34" i="3"/>
  <c r="AE34" i="3"/>
  <c r="AA34" i="3"/>
  <c r="U34" i="3"/>
  <c r="T34" i="3"/>
  <c r="R34" i="3"/>
  <c r="Q34" i="3"/>
  <c r="N34" i="3"/>
  <c r="M34" i="3"/>
  <c r="K34" i="3"/>
  <c r="J34" i="3"/>
  <c r="G34" i="3"/>
  <c r="F34" i="3"/>
  <c r="C34" i="3"/>
  <c r="B34" i="3"/>
  <c r="AM32" i="3"/>
  <c r="AI32" i="3"/>
  <c r="AE32" i="3"/>
  <c r="AA32" i="3"/>
  <c r="AM30" i="3"/>
  <c r="AI30" i="3"/>
  <c r="AE30" i="3"/>
  <c r="AA30" i="3"/>
  <c r="AM28" i="3"/>
  <c r="AI28" i="3"/>
  <c r="AE28" i="3"/>
  <c r="AA28" i="3"/>
  <c r="AM26" i="3"/>
  <c r="AI26" i="3"/>
  <c r="AE26" i="3"/>
  <c r="AE46" i="3" s="1"/>
  <c r="AA26" i="3"/>
  <c r="AA46" i="3" s="1"/>
  <c r="AM21" i="3"/>
  <c r="AI21" i="3"/>
  <c r="AE21" i="3"/>
  <c r="AA21" i="3"/>
  <c r="T20" i="3"/>
  <c r="S20" i="3"/>
  <c r="U20" i="3" s="1"/>
  <c r="D16" i="3" s="1"/>
  <c r="R20" i="3"/>
  <c r="D13" i="3" s="1"/>
  <c r="Q20" i="3"/>
  <c r="P20" i="3"/>
  <c r="M20" i="3"/>
  <c r="N20" i="3" s="1"/>
  <c r="D15" i="3" s="1"/>
  <c r="L20" i="3"/>
  <c r="J20" i="3"/>
  <c r="I20" i="3"/>
  <c r="K20" i="3" s="1"/>
  <c r="D12" i="3" s="1"/>
  <c r="G20" i="3"/>
  <c r="F20" i="3"/>
  <c r="E20" i="3"/>
  <c r="C20" i="3"/>
  <c r="D20" i="3" s="1"/>
  <c r="B20" i="3"/>
  <c r="AM19" i="3"/>
  <c r="AI19" i="3"/>
  <c r="AE19" i="3"/>
  <c r="AA19" i="3"/>
  <c r="AM17" i="3"/>
  <c r="AI17" i="3"/>
  <c r="AE17" i="3"/>
  <c r="AA17" i="3"/>
  <c r="AM15" i="3"/>
  <c r="AI15" i="3"/>
  <c r="AE15" i="3"/>
  <c r="AA15" i="3"/>
  <c r="D14" i="3"/>
  <c r="AM13" i="3"/>
  <c r="AI13" i="3"/>
  <c r="AE13" i="3"/>
  <c r="AA13" i="3"/>
  <c r="AM11" i="3"/>
  <c r="AI11" i="3"/>
  <c r="AE11" i="3"/>
  <c r="AA11" i="3"/>
  <c r="AM9" i="3"/>
  <c r="AI9" i="3"/>
  <c r="AE9" i="3"/>
  <c r="AA9" i="3"/>
  <c r="AM7" i="3"/>
  <c r="AI7" i="3"/>
  <c r="AE7" i="3"/>
  <c r="AA7" i="3"/>
  <c r="AM5" i="3"/>
  <c r="AI5" i="3"/>
  <c r="AE5" i="3"/>
  <c r="AA5" i="3"/>
  <c r="AM3" i="3"/>
  <c r="AM23" i="3" s="1"/>
  <c r="AI3" i="3"/>
  <c r="AE3" i="3"/>
  <c r="AA3" i="3"/>
  <c r="AA23" i="3" s="1"/>
  <c r="C830" i="3" l="1"/>
  <c r="M21" i="3"/>
  <c r="J21" i="3"/>
  <c r="D11" i="3"/>
  <c r="J22" i="3" s="1"/>
  <c r="D829" i="3"/>
  <c r="N21" i="3"/>
  <c r="K21" i="3"/>
  <c r="E809" i="3"/>
  <c r="C828" i="3" s="1"/>
  <c r="H809" i="3"/>
  <c r="I828" i="3" s="1"/>
  <c r="Q269" i="3"/>
  <c r="S269" i="3" s="1"/>
  <c r="F269" i="3"/>
  <c r="H269" i="3" s="1"/>
  <c r="T678" i="3"/>
  <c r="T679" i="3" s="1"/>
  <c r="J806" i="3" s="1"/>
  <c r="O802" i="3"/>
  <c r="O803" i="3" s="1"/>
  <c r="AV900" i="3"/>
  <c r="AV901" i="3" s="1"/>
  <c r="J815" i="3" s="1"/>
  <c r="C829" i="3" s="1"/>
  <c r="N806" i="3"/>
  <c r="H806" i="3"/>
  <c r="S1064" i="3"/>
  <c r="R1064" i="3"/>
  <c r="J455" i="3"/>
  <c r="J456" i="3" s="1"/>
  <c r="E455" i="3"/>
  <c r="E456" i="3" s="1"/>
  <c r="D827" i="3"/>
  <c r="H827" i="3"/>
  <c r="C821" i="3"/>
  <c r="BT900" i="3"/>
  <c r="BT901" i="3" s="1"/>
  <c r="J818" i="3" s="1"/>
  <c r="AE23" i="3"/>
  <c r="AI23" i="3"/>
  <c r="AI418" i="3" s="1"/>
  <c r="AI419" i="3" s="1"/>
  <c r="T269" i="3"/>
  <c r="V269" i="3" s="1"/>
  <c r="M269" i="3"/>
  <c r="O269" i="3" s="1"/>
  <c r="G269" i="3"/>
  <c r="AE298" i="3"/>
  <c r="AE418" i="3"/>
  <c r="AE419" i="3" s="1"/>
  <c r="AM427" i="3" s="1"/>
  <c r="AB729" i="3"/>
  <c r="AB730" i="3" s="1"/>
  <c r="AG729" i="3"/>
  <c r="AG730" i="3" s="1"/>
  <c r="O678" i="3"/>
  <c r="O679" i="3" s="1"/>
  <c r="BG900" i="3"/>
  <c r="BG901" i="3" s="1"/>
  <c r="U818" i="3" s="1"/>
  <c r="D830" i="3" s="1"/>
  <c r="S806" i="3"/>
  <c r="H1063" i="3"/>
  <c r="U269" i="3"/>
  <c r="AM418" i="3"/>
  <c r="AM419" i="3" s="1"/>
  <c r="AA252" i="3"/>
  <c r="AA275" i="3"/>
  <c r="AA418" i="3" s="1"/>
  <c r="AA419" i="3" s="1"/>
  <c r="AN427" i="3" s="1"/>
  <c r="B269" i="3"/>
  <c r="D269" i="3" s="1"/>
  <c r="N306" i="3"/>
  <c r="O334" i="3"/>
  <c r="O335" i="3" s="1"/>
  <c r="AQ705" i="3"/>
  <c r="AQ706" i="3" s="1"/>
  <c r="J809" i="3" s="1"/>
  <c r="C809" i="3"/>
  <c r="H828" i="3" s="1"/>
  <c r="N809" i="3"/>
  <c r="J828" i="3" s="1"/>
  <c r="G1062" i="3"/>
  <c r="J309" i="3"/>
  <c r="J310" i="3"/>
  <c r="K309" i="3"/>
  <c r="I839" i="3" l="1"/>
  <c r="J822" i="3"/>
  <c r="J821" i="3"/>
  <c r="H822" i="3"/>
  <c r="H821" i="3"/>
  <c r="I827" i="3"/>
  <c r="J458" i="3"/>
  <c r="J827" i="3"/>
  <c r="N822" i="3"/>
  <c r="N821" i="3"/>
  <c r="I834" i="3"/>
  <c r="H838" i="3"/>
  <c r="H843" i="3" s="1"/>
  <c r="J834" i="3"/>
  <c r="C822" i="3"/>
  <c r="U809" i="3"/>
  <c r="S822" i="3"/>
  <c r="S821" i="3"/>
  <c r="K829" i="3"/>
  <c r="H841" i="3" s="1"/>
  <c r="H846" i="3" s="1"/>
  <c r="P809" i="3"/>
  <c r="E806" i="3"/>
  <c r="D828" i="3" l="1"/>
  <c r="P822" i="3"/>
  <c r="P821" i="3"/>
  <c r="I840" i="3"/>
  <c r="I845" i="3" s="1"/>
  <c r="I841" i="3"/>
  <c r="I846" i="3" s="1"/>
  <c r="U821" i="3"/>
  <c r="U822" i="3"/>
  <c r="H834" i="3"/>
  <c r="M834" i="3"/>
  <c r="H840" i="3"/>
  <c r="H845" i="3" s="1"/>
  <c r="E822" i="3"/>
  <c r="E821" i="3"/>
  <c r="I838" i="3"/>
  <c r="I843" i="3" s="1"/>
  <c r="C827" i="3"/>
  <c r="H839" i="3"/>
  <c r="H844" i="3" s="1"/>
  <c r="L834" i="3"/>
  <c r="K834" i="3"/>
  <c r="I844" i="3"/>
  <c r="C832" i="3" l="1"/>
  <c r="C833" i="3"/>
  <c r="C831" i="3"/>
  <c r="D831" i="3"/>
  <c r="D832" i="3"/>
</calcChain>
</file>

<file path=xl/sharedStrings.xml><?xml version="1.0" encoding="utf-8"?>
<sst xmlns="http://schemas.openxmlformats.org/spreadsheetml/2006/main" count="688" uniqueCount="145">
  <si>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</si>
  <si>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</si>
  <si>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</si>
  <si>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</si>
  <si>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Export Summary</t>
  </si>
  <si>
    <t>Table 1</t>
  </si>
  <si>
    <t>Sheet 1</t>
  </si>
  <si>
    <r>
      <rPr>
        <u/>
        <sz val="12"/>
        <color indexed="11"/>
        <rFont val="Verdana"/>
      </rPr>
      <t>Sheet 1</t>
    </r>
  </si>
  <si>
    <t>WT</t>
  </si>
  <si>
    <t>tips</t>
  </si>
  <si>
    <t>MUT</t>
  </si>
  <si>
    <t>A1_1</t>
  </si>
  <si>
    <t>B1_1</t>
  </si>
  <si>
    <t>Cell Mixing</t>
  </si>
  <si>
    <t>p-value</t>
  </si>
  <si>
    <t>FOXD1</t>
  </si>
  <si>
    <t>Six2</t>
  </si>
  <si>
    <t>Total</t>
  </si>
  <si>
    <t>C1_1</t>
  </si>
  <si>
    <t>A1_2</t>
  </si>
  <si>
    <t>B1_2</t>
  </si>
  <si>
    <t>C1_2</t>
  </si>
  <si>
    <t>B1_3</t>
  </si>
  <si>
    <t>C1_3</t>
  </si>
  <si>
    <t>A1_3</t>
  </si>
  <si>
    <t>B1_4</t>
  </si>
  <si>
    <t>C1_4</t>
  </si>
  <si>
    <t>A1_4</t>
  </si>
  <si>
    <t>A1_5</t>
  </si>
  <si>
    <t>B1_5</t>
  </si>
  <si>
    <t>C1_5</t>
  </si>
  <si>
    <t>A2_1</t>
  </si>
  <si>
    <t>B2_1</t>
  </si>
  <si>
    <t>C2_1</t>
  </si>
  <si>
    <t>A2_2</t>
  </si>
  <si>
    <t>B2_2</t>
  </si>
  <si>
    <t>A2_3</t>
  </si>
  <si>
    <t>B2_3</t>
  </si>
  <si>
    <t>A4_1</t>
  </si>
  <si>
    <t>B4_1</t>
  </si>
  <si>
    <t>A2_4</t>
  </si>
  <si>
    <t>B3_3</t>
  </si>
  <si>
    <t>A2_5</t>
  </si>
  <si>
    <t>A4_2</t>
  </si>
  <si>
    <t>B4_2</t>
  </si>
  <si>
    <t>A3_1</t>
  </si>
  <si>
    <t>A3_2</t>
  </si>
  <si>
    <t>A4_3</t>
  </si>
  <si>
    <t>B4_3</t>
  </si>
  <si>
    <t>A3_3</t>
  </si>
  <si>
    <t>A3_4</t>
  </si>
  <si>
    <t>A4_4</t>
  </si>
  <si>
    <t>B4_4</t>
  </si>
  <si>
    <t>A3_5</t>
  </si>
  <si>
    <t>A4_5</t>
  </si>
  <si>
    <t>B4_5</t>
  </si>
  <si>
    <t>A7_1</t>
  </si>
  <si>
    <t>A7_2</t>
  </si>
  <si>
    <t>FINAL</t>
  </si>
  <si>
    <t>Wildtype</t>
  </si>
  <si>
    <t>Mutant</t>
  </si>
  <si>
    <t>Foxd1 Tip</t>
  </si>
  <si>
    <t>A</t>
  </si>
  <si>
    <t>B</t>
  </si>
  <si>
    <t>C</t>
  </si>
  <si>
    <t>a7_3</t>
  </si>
  <si>
    <t>A7_4</t>
  </si>
  <si>
    <t>Mutnat</t>
  </si>
  <si>
    <t>mTmG</t>
  </si>
  <si>
    <t>Attached</t>
  </si>
  <si>
    <t xml:space="preserve">Detached </t>
  </si>
  <si>
    <t>R3</t>
  </si>
  <si>
    <t>ANGLE</t>
  </si>
  <si>
    <t>LENGTH</t>
  </si>
  <si>
    <t>SCORE</t>
  </si>
  <si>
    <t>A7_5</t>
  </si>
  <si>
    <t>TOTAL</t>
  </si>
  <si>
    <t>AVERAGE</t>
  </si>
  <si>
    <t>Unattached</t>
  </si>
  <si>
    <t>Roundness</t>
  </si>
  <si>
    <t>A10_1</t>
  </si>
  <si>
    <t>A10_2</t>
  </si>
  <si>
    <t>A10_3</t>
  </si>
  <si>
    <t>R5</t>
  </si>
  <si>
    <t>L3</t>
  </si>
  <si>
    <t>R7</t>
  </si>
  <si>
    <t>L5</t>
  </si>
  <si>
    <t>L1</t>
  </si>
  <si>
    <t>R1</t>
  </si>
  <si>
    <t>R2</t>
  </si>
  <si>
    <t>L2</t>
  </si>
  <si>
    <t>L4</t>
  </si>
  <si>
    <t>R4</t>
  </si>
  <si>
    <t>R6</t>
  </si>
  <si>
    <t>L6</t>
  </si>
  <si>
    <t>L7</t>
  </si>
  <si>
    <t>L Final</t>
  </si>
  <si>
    <t>Angle</t>
  </si>
  <si>
    <t>L8</t>
  </si>
  <si>
    <t>R Final</t>
  </si>
  <si>
    <t>L1 Final</t>
  </si>
  <si>
    <t>R1 Final</t>
  </si>
  <si>
    <t>Average</t>
  </si>
  <si>
    <t>R8</t>
  </si>
  <si>
    <t>Stdev</t>
  </si>
  <si>
    <t>WT att</t>
  </si>
  <si>
    <t>WT unatt</t>
  </si>
  <si>
    <t>Mut att</t>
  </si>
  <si>
    <t>Mut unatt</t>
  </si>
  <si>
    <t>Pooled round</t>
  </si>
  <si>
    <t>L9</t>
  </si>
  <si>
    <t>Wt att/ Mut un</t>
  </si>
  <si>
    <t>Wt att /Mut att</t>
  </si>
  <si>
    <t>Wt att/ Wtunatt</t>
  </si>
  <si>
    <t>WT un/Mut att</t>
  </si>
  <si>
    <t>Wt un/ Mut un</t>
  </si>
  <si>
    <t>Mutatt / Mut un</t>
  </si>
  <si>
    <t>R9</t>
  </si>
  <si>
    <t>L10</t>
  </si>
  <si>
    <t>R10</t>
  </si>
  <si>
    <t>Extensions</t>
  </si>
  <si>
    <t>Mut unnatached</t>
  </si>
  <si>
    <t>Mutattatched</t>
  </si>
  <si>
    <t>No Extensions</t>
  </si>
  <si>
    <t>R11</t>
  </si>
  <si>
    <t>L11</t>
  </si>
  <si>
    <t>No extensions</t>
  </si>
  <si>
    <t>L12</t>
  </si>
  <si>
    <t>No extesions</t>
  </si>
  <si>
    <t>L13</t>
  </si>
  <si>
    <t>R13</t>
  </si>
  <si>
    <t>L14</t>
  </si>
  <si>
    <t>L15</t>
  </si>
  <si>
    <t>R14</t>
  </si>
  <si>
    <t>R15</t>
  </si>
  <si>
    <t xml:space="preserve"> </t>
  </si>
  <si>
    <t>Total Cells</t>
  </si>
  <si>
    <t>Total extensions</t>
  </si>
  <si>
    <t>Length</t>
  </si>
  <si>
    <t>Attached L</t>
  </si>
  <si>
    <t>Attached A</t>
  </si>
  <si>
    <t>Unattached E</t>
  </si>
  <si>
    <t>Unattached A</t>
  </si>
  <si>
    <t>Replicate 1</t>
  </si>
  <si>
    <t>Replicate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</si>
</sst>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10" x14ac:knownFonts="1">
    <font>
      <sz val="12"/>
      <color indexed="8"/>
      <name val="Verdana"/>
    </font>
    <font>
      <sz val="14"/>
      <color indexed="8"/>
      <name val="Verdana"/>
    </font>
    <font>
      <u/>
      <sz val="12"/>
      <color indexed="11"/>
      <name val="Verdana"/>
    </font>
    <font>
      <sz val="12"/>
      <color indexed="8"/>
      <name val="Verdana"/>
    </font>
    <font>
      <sz val="14"/>
      <color indexed="8"/>
      <name val="Verdana"/>
    </font>
    <font>
      <u/>
      <sz val="12"/>
      <color indexed="11"/>
      <name val="Verdana"/>
    </font>
    <font>
      <b/>
      <sz val="10"/>
      <color indexed="8"/>
      <name val="Helvetica"/>
    </font>
    <font>
      <sz val="10"/>
      <color indexed="8"/>
      <name val="Helvetica"/>
    </font>
    <font>
      <sz val="12"/>
      <color indexed="8"/>
      <name val="Trebuchet MS"/>
    </font>
    <font>
      <sz val="17"/>
      <color indexed="17"/>
      <name val="Georgia"/>
    </font>
  </fonts>
  <fills count="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s>
  <borders count="11">
    <border>
      <left/>
      <right/>
      <top/>
      <bottom/>
      <diagonal/>
    </border>
    <border>
      <left style="thin">
        <color indexed="12"/>
      </left>
      <right/>
      <top style="thin">
        <color indexed="12"/>
      </top>
      <bottom/>
      <diagonal/>
    </border>
    <border>
      <left/>
      <right/>
      <top style="thin">
        <color indexed="12"/>
      </top>
      <bottom/>
      <diagonal/>
    </border>
    <border>
      <left/>
      <right style="thin">
        <color indexed="12"/>
      </right>
      <top style="thin">
        <color indexed="12"/>
      </top>
      <bottom/>
      <diagonal/>
    </border>
    <border>
      <left style="thin">
        <color indexed="12"/>
      </left>
      <right/>
      <top/>
      <bottom/>
      <diagonal/>
    </border>
    <border>
      <left/>
      <right/>
      <top/>
      <bottom/>
      <diagonal/>
    </border>
    <border>
      <left/>
      <right style="thin">
        <color indexed="12"/>
      </right>
      <top/>
      <bottom/>
      <diagonal/>
    </border>
    <border>
      <left style="thin">
        <color indexed="12"/>
      </left>
      <right/>
      <top/>
      <bottom style="thin">
        <color indexed="12"/>
      </bottom>
      <diagonal/>
    </border>
    <border>
      <left/>
      <right/>
      <top/>
      <bottom style="thin">
        <color indexed="12"/>
      </bottom>
      <diagonal/>
    </border>
    <border>
      <left/>
      <right style="thin">
        <color indexed="12"/>
      </right>
      <top/>
      <bottom style="thin">
        <color indexed="12"/>
      </bottom>
      <diagonal/>
    </border>
    <border>
      <left style="thin">
        <color indexed="8"/>
      </left>
      <right style="thin">
        <color indexed="8"/>
      </right>
      <top style="thin">
        <color indexed="8"/>
      </top>
      <bottom style="thin">
        <color indexed="8"/>
      </bottom>
      <diagonal/>
    </border>
  </borders>
  <cellStyleXfs count="1">
    <xf numFmtId="0" fontId="0" fillId="0" borderId="0" applyNumberFormat="0" applyFill="0" applyBorder="0" applyProtection="0">
      <alignment vertical="top" wrapText="1"/>
    </xf>
  </cellStyleXfs>
  <cellXfs count="38">
    <xf numFmtId="0" fontId="0" fillId="0" borderId="0" xfId="0" applyFont="1" applyAlignment="1">
      <alignment vertical="top" wrapText="1"/>
    </xf>
    <xf numFmtId="0" fontId="1" fillId="0" borderId="0" xfId="0" applyFont="1" applyAlignment="1"/>
    <xf numFmtId="0" fontId="0" fillId="2" borderId="0" xfId="0" applyFont="1" applyFill="1" applyAlignment="1"/>
    <xf numFmtId="0" fontId="0" fillId="3" borderId="0" xfId="0" applyFont="1" applyFill="1" applyAlignment="1"/>
    <xf numFmtId="0" fontId="2" fillId="3" borderId="0" xfId="0" applyFont="1" applyFill="1" applyAlignment="1"/>
    <xf numFmtId="0" fontId="3" fillId="0" borderId="0" xfId="0" applyNumberFormat="1" applyFont="1" applyAlignment="1">
      <alignment vertical="top"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3" fillId="0" borderId="6" xfId="0" applyFont="1" applyBorder="1" applyAlignment="1">
      <alignment vertical="top" wrapText="1"/>
    </xf>
    <xf numFmtId="0" fontId="4" fillId="0" borderId="5" xfId="0" applyNumberFormat="1" applyFont="1" applyBorder="1" applyAlignment="1"/>
    <xf numFmtId="0" fontId="3" fillId="4" borderId="5" xfId="0" applyNumberFormat="1" applyFont="1" applyFill="1" applyBorder="1" applyAlignment="1"/>
    <xf numFmtId="1" fontId="3" fillId="4" borderId="5" xfId="0" applyNumberFormat="1" applyFont="1" applyFill="1" applyBorder="1" applyAlignment="1"/>
    <xf numFmtId="0" fontId="3" fillId="0" borderId="7" xfId="0" applyFont="1" applyBorder="1" applyAlignment="1">
      <alignment vertical="top" wrapText="1"/>
    </xf>
    <xf numFmtId="1" fontId="3" fillId="5" borderId="8" xfId="0" applyNumberFormat="1" applyFont="1" applyFill="1" applyBorder="1" applyAlignment="1"/>
    <xf numFmtId="0" fontId="3" fillId="5" borderId="8" xfId="0" applyNumberFormat="1" applyFont="1" applyFill="1" applyBorder="1" applyAlignment="1"/>
    <xf numFmtId="0" fontId="5" fillId="5" borderId="8" xfId="0" applyNumberFormat="1" applyFont="1" applyFill="1" applyBorder="1" applyAlignment="1"/>
    <xf numFmtId="0" fontId="3" fillId="0" borderId="9" xfId="0" applyFont="1" applyBorder="1" applyAlignment="1">
      <alignment vertical="top" wrapText="1"/>
    </xf>
    <xf numFmtId="0" fontId="3" fillId="0" borderId="0" xfId="0" applyNumberFormat="1" applyFont="1" applyAlignment="1">
      <alignment vertical="top" wrapText="1"/>
    </xf>
    <xf numFmtId="0" fontId="6" fillId="6" borderId="0" xfId="0" applyNumberFormat="1" applyFont="1" applyFill="1" applyAlignment="1">
      <alignment vertical="top" wrapText="1"/>
    </xf>
    <xf numFmtId="0" fontId="7" fillId="0" borderId="0" xfId="0" applyNumberFormat="1" applyFont="1" applyAlignment="1">
      <alignment vertical="top" wrapText="1"/>
    </xf>
    <xf numFmtId="0" fontId="6" fillId="7" borderId="10" xfId="0" applyNumberFormat="1" applyFont="1" applyFill="1" applyBorder="1" applyAlignment="1">
      <alignment vertical="top" wrapText="1"/>
    </xf>
    <xf numFmtId="1" fontId="6" fillId="7" borderId="10" xfId="0" applyNumberFormat="1" applyFont="1" applyFill="1" applyBorder="1" applyAlignment="1">
      <alignment vertical="top" wrapText="1"/>
    </xf>
    <xf numFmtId="0" fontId="7" fillId="0" borderId="10" xfId="0" applyNumberFormat="1" applyFont="1" applyBorder="1" applyAlignment="1">
      <alignment vertical="top" wrapText="1"/>
    </xf>
    <xf numFmtId="1" fontId="6" fillId="6" borderId="10" xfId="0" applyNumberFormat="1" applyFont="1" applyFill="1" applyBorder="1" applyAlignment="1">
      <alignment vertical="top" wrapText="1"/>
    </xf>
    <xf numFmtId="0" fontId="3" fillId="0" borderId="10" xfId="0" applyNumberFormat="1" applyFont="1" applyBorder="1" applyAlignment="1">
      <alignment vertical="top" wrapText="1"/>
    </xf>
    <xf numFmtId="1" fontId="7" fillId="0" borderId="10" xfId="0" applyNumberFormat="1" applyFont="1" applyBorder="1" applyAlignment="1">
      <alignment vertical="top" wrapText="1"/>
    </xf>
    <xf numFmtId="0" fontId="3" fillId="0" borderId="10" xfId="0" applyFont="1" applyBorder="1" applyAlignment="1">
      <alignment vertical="top" wrapText="1"/>
    </xf>
    <xf numFmtId="0" fontId="6" fillId="6" borderId="10" xfId="0" applyNumberFormat="1" applyFont="1" applyFill="1" applyBorder="1" applyAlignment="1">
      <alignment vertical="top" wrapText="1"/>
    </xf>
    <xf numFmtId="0" fontId="8" fillId="0" borderId="10" xfId="0" applyNumberFormat="1" applyFont="1" applyBorder="1" applyAlignment="1"/>
    <xf numFmtId="0" fontId="7" fillId="0" borderId="10" xfId="0" applyNumberFormat="1" applyFont="1" applyBorder="1" applyAlignment="1">
      <alignment horizontal="left" vertical="top" wrapText="1"/>
    </xf>
    <xf numFmtId="0" fontId="9" fillId="0" borderId="10" xfId="0" applyNumberFormat="1" applyFont="1" applyBorder="1" applyAlignment="1">
      <alignment vertical="top" wrapText="1"/>
    </xf>
    <xf numFmtId="164" fontId="3" fillId="0" borderId="10" xfId="0" applyNumberFormat="1" applyFont="1" applyBorder="1" applyAlignment="1">
      <alignment vertical="top" wrapText="1"/>
    </xf>
    <xf numFmtId="0" fontId="0" fillId="0" borderId="0" xfId="0" applyFont="1" applyAlignment="1">
      <alignment vertical="top" wrapText="1"/>
    </xf>
    <xf numFmtId="0" fontId="3" fillId="0" borderId="5" xfId="0" applyNumberFormat="1" applyFont="1" applyBorder="1" applyAlignment="1">
      <alignment vertical="top" wrapText="1"/>
    </xf>
    <xf numFmtId="1" fontId="3" fillId="0" borderId="5" xfId="0" applyNumberFormat="1" applyFont="1" applyBorder="1" applyAlignment="1">
      <alignment vertical="top"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AAAAAA"/>
      <rgbColor rgb="FF5E88B1"/>
      <rgbColor rgb="FFEEF3F4"/>
      <rgbColor rgb="FFDBDBDB"/>
      <rgbColor rgb="FFBDC0BF"/>
      <rgbColor rgb="FF222222"/>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2"/>
  <sheetViews>
    <sheetView showGridLines="0" workbookViewId="0">
      <selection activeCell="D12" sqref="D12"/>
    </sheetView>
  </sheetViews>
  <sheetFormatPr defaultColWidth="10" defaultRowHeight="13" customHeight="1" x14ac:dyDescent="0.45"/>
  <cols>
    <col min="1" max="1" width="2" customWidth="1"/>
    <col min="2" max="4" width="28" customWidth="1"/>
  </cols>
  <sheetData>
    <row r="3" spans="2:4" ht="50.05" customHeight="1" x14ac:dyDescent="0.45">
      <c r="B3" s="35" t="s">
        <v>0</v>
      </c>
      <c r="C3" s="35"/>
      <c r="D3" s="35"/>
    </row>
    <row r="7" spans="2:4" ht="17.7" x14ac:dyDescent="0.55000000000000004">
      <c r="B7" s="1" t="s">
        <v>1</v>
      </c>
      <c r="C7" s="1" t="s">
        <v>2</v>
      </c>
      <c r="D7" s="1" t="s">
        <v>3</v>
      </c>
    </row>
    <row r="9" spans="2:4" ht="14.7" x14ac:dyDescent="0.45">
      <c r="B9" s="2" t="s">
        <v>4</v>
      </c>
      <c r="C9" s="2"/>
      <c r="D9" s="2"/>
    </row>
    <row r="10" spans="2:4" ht="14.7" x14ac:dyDescent="0.45">
      <c r="B10" s="3"/>
      <c r="C10" s="3" t="s">
        <v>5</v>
      </c>
      <c r="D10" s="4" t="s">
        <v>4</v>
      </c>
    </row>
    <row r="11" spans="2:4" ht="14.7" x14ac:dyDescent="0.45">
      <c r="B11" s="2" t="s">
        <v>6</v>
      </c>
      <c r="C11" s="2"/>
      <c r="D11" s="2"/>
    </row>
    <row r="12" spans="2:4" ht="14.7" x14ac:dyDescent="0.45">
      <c r="B12" s="3"/>
      <c r="C12" s="3" t="s">
        <v>5</v>
      </c>
      <c r="D12" s="4" t="s">
        <v>6</v>
      </c>
    </row>
  </sheetData>
  <mergeCells count="1">
    <mergeCell ref="B3:D3"/>
  </mergeCells>
  <hyperlinks>
    <hyperlink ref="D10" location="'Export Summary'!R1C1" display="Export Summary" xr:uid="{00000000-0004-0000-0000-000000000000}"/>
    <hyperlink ref="D12" location="'Sheet 1'!R1C1" display="Sheet 1"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10"/>
  <sheetViews>
    <sheetView showGridLines="0" workbookViewId="0">
      <selection activeCell="D10" sqref="D10"/>
    </sheetView>
  </sheetViews>
  <sheetFormatPr defaultColWidth="10" defaultRowHeight="13" customHeight="1" x14ac:dyDescent="0.45"/>
  <cols>
    <col min="1" max="1" width="2" style="5" customWidth="1"/>
    <col min="2" max="4" width="28" style="5" customWidth="1"/>
    <col min="5" max="256" width="10" style="5" customWidth="1"/>
  </cols>
  <sheetData>
    <row r="1" spans="1:5" ht="19.5" customHeight="1" x14ac:dyDescent="0.45">
      <c r="A1" s="6"/>
      <c r="B1" s="7"/>
      <c r="C1" s="7"/>
      <c r="D1" s="7"/>
      <c r="E1" s="8"/>
    </row>
    <row r="2" spans="1:5" ht="19" customHeight="1" x14ac:dyDescent="0.45">
      <c r="A2" s="9"/>
      <c r="B2" s="10"/>
      <c r="C2" s="10"/>
      <c r="D2" s="10"/>
      <c r="E2" s="11"/>
    </row>
    <row r="3" spans="1:5" ht="50.05" customHeight="1" x14ac:dyDescent="0.45">
      <c r="A3" s="9"/>
      <c r="B3" s="36" t="s">
        <v>0</v>
      </c>
      <c r="C3" s="37"/>
      <c r="D3" s="37"/>
      <c r="E3" s="11"/>
    </row>
    <row r="4" spans="1:5" ht="19" customHeight="1" x14ac:dyDescent="0.45">
      <c r="A4" s="9"/>
      <c r="B4" s="10"/>
      <c r="C4" s="10"/>
      <c r="D4" s="10"/>
      <c r="E4" s="11"/>
    </row>
    <row r="5" spans="1:5" ht="19" customHeight="1" x14ac:dyDescent="0.45">
      <c r="A5" s="9"/>
      <c r="B5" s="10"/>
      <c r="C5" s="10"/>
      <c r="D5" s="10"/>
      <c r="E5" s="11"/>
    </row>
    <row r="6" spans="1:5" ht="19" customHeight="1" x14ac:dyDescent="0.45">
      <c r="A6" s="9"/>
      <c r="B6" s="10"/>
      <c r="C6" s="10"/>
      <c r="D6" s="10"/>
      <c r="E6" s="11"/>
    </row>
    <row r="7" spans="1:5" ht="18" customHeight="1" x14ac:dyDescent="0.55000000000000004">
      <c r="A7" s="9"/>
      <c r="B7" s="12" t="s">
        <v>1</v>
      </c>
      <c r="C7" s="12" t="s">
        <v>2</v>
      </c>
      <c r="D7" s="12" t="s">
        <v>3</v>
      </c>
      <c r="E7" s="11"/>
    </row>
    <row r="8" spans="1:5" ht="19" customHeight="1" x14ac:dyDescent="0.45">
      <c r="A8" s="9"/>
      <c r="B8" s="10"/>
      <c r="C8" s="10"/>
      <c r="D8" s="10"/>
      <c r="E8" s="11"/>
    </row>
    <row r="9" spans="1:5" ht="16" customHeight="1" x14ac:dyDescent="0.45">
      <c r="A9" s="9"/>
      <c r="B9" s="13" t="s">
        <v>6</v>
      </c>
      <c r="C9" s="14"/>
      <c r="D9" s="14"/>
      <c r="E9" s="11"/>
    </row>
    <row r="10" spans="1:5" ht="16" customHeight="1" x14ac:dyDescent="0.45">
      <c r="A10" s="15"/>
      <c r="B10" s="16"/>
      <c r="C10" s="17" t="s">
        <v>5</v>
      </c>
      <c r="D10" s="18" t="s">
        <v>7</v>
      </c>
      <c r="E10" s="19"/>
    </row>
  </sheetData>
  <mergeCells count="1">
    <mergeCell ref="B3:D3"/>
  </mergeCells>
  <pageMargins left="0" right="0" top="0" bottom="0" header="0" footer="0"/>
  <pageSetup orientation="landscape"/>
  <headerFooter>
    <oddFooter>&amp;"Helvetica,Regular"&amp;11&amp;P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1520"/>
  <sheetViews>
    <sheetView tabSelected="1" defaultGridColor="0" colorId="8" workbookViewId="0">
      <selection activeCell="J6" sqref="J6"/>
    </sheetView>
  </sheetViews>
  <sheetFormatPr defaultColWidth="9" defaultRowHeight="18" customHeight="1" x14ac:dyDescent="0.45"/>
  <cols>
    <col min="1" max="1" width="9" style="21" customWidth="1"/>
    <col min="2" max="19" width="9" style="22" customWidth="1"/>
    <col min="20" max="21" width="9" style="5" customWidth="1"/>
    <col min="22" max="22" width="9" style="22" customWidth="1"/>
    <col min="23" max="23" width="9" style="5" customWidth="1"/>
    <col min="24" max="43" width="9" style="22" customWidth="1"/>
    <col min="44" max="81" width="9" style="5" customWidth="1"/>
    <col min="82" max="256" width="9" style="20" customWidth="1"/>
  </cols>
  <sheetData>
    <row r="1" spans="1:81" s="23" customFormat="1" ht="20.5" customHeight="1" x14ac:dyDescent="0.45">
      <c r="B1" s="23" t="s">
        <v>8</v>
      </c>
      <c r="C1" s="23" t="s">
        <v>9</v>
      </c>
      <c r="E1" s="23" t="s">
        <v>10</v>
      </c>
      <c r="F1" s="23" t="s">
        <v>9</v>
      </c>
      <c r="I1" s="23" t="s">
        <v>8</v>
      </c>
      <c r="J1" s="23" t="s">
        <v>9</v>
      </c>
      <c r="K1" s="24"/>
      <c r="L1" s="23" t="s">
        <v>10</v>
      </c>
      <c r="M1" s="23" t="s">
        <v>9</v>
      </c>
      <c r="N1" s="24"/>
      <c r="P1" s="23" t="s">
        <v>8</v>
      </c>
      <c r="Q1" s="23" t="s">
        <v>9</v>
      </c>
      <c r="R1" s="24"/>
      <c r="S1" s="23" t="s">
        <v>10</v>
      </c>
      <c r="T1" s="23" t="s">
        <v>9</v>
      </c>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row>
    <row r="2" spans="1:81" s="25" customFormat="1" ht="20.5" customHeight="1" x14ac:dyDescent="0.45">
      <c r="A2" s="26"/>
      <c r="B2" s="25">
        <v>11</v>
      </c>
      <c r="C2" s="25">
        <v>2</v>
      </c>
      <c r="E2" s="25">
        <v>1</v>
      </c>
      <c r="F2" s="25">
        <v>1</v>
      </c>
      <c r="I2" s="25">
        <v>13</v>
      </c>
      <c r="J2" s="25">
        <v>2</v>
      </c>
      <c r="L2" s="25">
        <v>9</v>
      </c>
      <c r="M2" s="25">
        <v>2</v>
      </c>
      <c r="P2" s="27">
        <v>8</v>
      </c>
      <c r="Q2" s="27">
        <v>2</v>
      </c>
      <c r="S2" s="27">
        <v>9</v>
      </c>
      <c r="T2" s="27">
        <v>2</v>
      </c>
      <c r="Y2" s="25" t="s">
        <v>11</v>
      </c>
      <c r="AB2" s="28"/>
      <c r="AC2" s="28"/>
      <c r="AD2" s="28"/>
      <c r="AG2" s="25" t="s">
        <v>12</v>
      </c>
      <c r="AO2" s="29"/>
    </row>
    <row r="3" spans="1:81" s="25" customFormat="1" ht="20.25" customHeight="1" x14ac:dyDescent="0.45">
      <c r="A3" s="26"/>
      <c r="B3" s="25">
        <v>15</v>
      </c>
      <c r="C3" s="25">
        <v>2</v>
      </c>
      <c r="E3" s="25">
        <v>7</v>
      </c>
      <c r="F3" s="25">
        <v>2</v>
      </c>
      <c r="I3" s="25">
        <v>11</v>
      </c>
      <c r="J3" s="25">
        <v>1</v>
      </c>
      <c r="L3" s="25">
        <v>7</v>
      </c>
      <c r="M3" s="25">
        <v>2</v>
      </c>
      <c r="P3" s="27">
        <v>18</v>
      </c>
      <c r="Q3" s="27">
        <v>2</v>
      </c>
      <c r="S3" s="27">
        <v>5</v>
      </c>
      <c r="T3" s="27">
        <v>2</v>
      </c>
      <c r="Y3" s="25">
        <v>1</v>
      </c>
      <c r="Z3" s="25">
        <v>9.9830000000000005</v>
      </c>
      <c r="AA3" s="25">
        <f>Z4/Z3</f>
        <v>0.5648602624461585</v>
      </c>
      <c r="AB3" s="28"/>
      <c r="AC3" s="25">
        <v>1</v>
      </c>
      <c r="AD3" s="25">
        <v>15.222</v>
      </c>
      <c r="AE3" s="25">
        <f>AD4/AD3</f>
        <v>0.3459466561555643</v>
      </c>
      <c r="AG3" s="25">
        <v>1</v>
      </c>
      <c r="AH3" s="25">
        <v>13.343999999999999</v>
      </c>
      <c r="AI3" s="25">
        <f>AH4/AH3</f>
        <v>0.32066846522781778</v>
      </c>
      <c r="AJ3" s="28"/>
      <c r="AK3" s="25">
        <v>1</v>
      </c>
      <c r="AL3" s="25">
        <v>5.665</v>
      </c>
      <c r="AM3" s="25">
        <f>AL4/AL3</f>
        <v>0.89443954104148282</v>
      </c>
      <c r="AN3" s="28"/>
      <c r="AO3" s="28"/>
      <c r="AP3" s="28"/>
    </row>
    <row r="4" spans="1:81" s="25" customFormat="1" ht="20.25" customHeight="1" x14ac:dyDescent="0.45">
      <c r="A4" s="26"/>
      <c r="B4" s="25">
        <v>21</v>
      </c>
      <c r="C4" s="25">
        <v>2</v>
      </c>
      <c r="E4" s="25">
        <v>2</v>
      </c>
      <c r="F4" s="25">
        <v>2</v>
      </c>
      <c r="I4" s="25">
        <v>17</v>
      </c>
      <c r="J4" s="25">
        <v>2</v>
      </c>
      <c r="L4" s="25">
        <v>6</v>
      </c>
      <c r="M4" s="25">
        <v>2</v>
      </c>
      <c r="P4" s="27">
        <v>15</v>
      </c>
      <c r="Q4" s="27">
        <v>2</v>
      </c>
      <c r="S4" s="27">
        <v>3</v>
      </c>
      <c r="T4" s="27">
        <v>1</v>
      </c>
      <c r="Y4" s="25">
        <v>2</v>
      </c>
      <c r="Z4" s="25">
        <v>5.6390000000000002</v>
      </c>
      <c r="AA4" s="28"/>
      <c r="AB4" s="28"/>
      <c r="AC4" s="25">
        <v>2</v>
      </c>
      <c r="AD4" s="25">
        <v>5.266</v>
      </c>
      <c r="AE4" s="28"/>
      <c r="AG4" s="25">
        <v>2</v>
      </c>
      <c r="AH4" s="25">
        <v>4.2789999999999999</v>
      </c>
      <c r="AI4" s="28"/>
      <c r="AJ4" s="28"/>
      <c r="AK4" s="25">
        <v>2</v>
      </c>
      <c r="AL4" s="25">
        <v>5.0670000000000002</v>
      </c>
      <c r="AM4" s="28"/>
      <c r="AN4" s="28"/>
      <c r="AO4" s="28"/>
      <c r="AP4" s="28"/>
    </row>
    <row r="5" spans="1:81" s="25" customFormat="1" ht="20.25" customHeight="1" x14ac:dyDescent="0.45">
      <c r="A5" s="26"/>
      <c r="B5" s="25">
        <v>16</v>
      </c>
      <c r="C5" s="25">
        <v>2</v>
      </c>
      <c r="E5" s="25">
        <v>2</v>
      </c>
      <c r="F5" s="25">
        <v>2</v>
      </c>
      <c r="I5" s="25">
        <v>11</v>
      </c>
      <c r="J5" s="25">
        <v>2</v>
      </c>
      <c r="L5" s="25">
        <v>5</v>
      </c>
      <c r="M5" s="25">
        <v>1</v>
      </c>
      <c r="P5" s="27">
        <v>17</v>
      </c>
      <c r="Q5" s="27">
        <v>2</v>
      </c>
      <c r="S5" s="27">
        <v>8</v>
      </c>
      <c r="T5" s="27">
        <v>2</v>
      </c>
      <c r="Y5" s="25">
        <v>3</v>
      </c>
      <c r="Z5" s="25">
        <v>5.0199999999999996</v>
      </c>
      <c r="AA5" s="25">
        <f>Z5/Z6</f>
        <v>0.77064783543137849</v>
      </c>
      <c r="AB5" s="28"/>
      <c r="AC5" s="25">
        <v>3</v>
      </c>
      <c r="AD5" s="25">
        <v>11.156000000000001</v>
      </c>
      <c r="AE5" s="25">
        <f>AD6/AD5</f>
        <v>0.47714234492649699</v>
      </c>
      <c r="AG5" s="25">
        <v>3</v>
      </c>
      <c r="AH5" s="25">
        <v>5.9470000000000001</v>
      </c>
      <c r="AI5" s="25">
        <f>AH6/AH5</f>
        <v>0.8621153522784597</v>
      </c>
      <c r="AJ5" s="28"/>
      <c r="AK5" s="25">
        <v>3</v>
      </c>
      <c r="AL5" s="25">
        <v>10.861000000000001</v>
      </c>
      <c r="AM5" s="25">
        <f>AL6/AL5</f>
        <v>0.275665224196667</v>
      </c>
      <c r="AN5" s="28"/>
      <c r="AO5" s="28"/>
      <c r="AP5" s="28"/>
    </row>
    <row r="6" spans="1:81" s="25" customFormat="1" ht="20.25" customHeight="1" x14ac:dyDescent="0.45">
      <c r="A6" s="26"/>
      <c r="B6" s="25">
        <v>15</v>
      </c>
      <c r="C6" s="25">
        <v>2</v>
      </c>
      <c r="E6" s="25">
        <v>4</v>
      </c>
      <c r="F6" s="25">
        <v>2</v>
      </c>
      <c r="I6" s="25">
        <v>12</v>
      </c>
      <c r="J6" s="25">
        <v>2</v>
      </c>
      <c r="L6" s="25">
        <v>8</v>
      </c>
      <c r="M6" s="25">
        <v>2</v>
      </c>
      <c r="P6" s="27">
        <v>14</v>
      </c>
      <c r="Q6" s="27">
        <v>2</v>
      </c>
      <c r="S6" s="27">
        <v>10</v>
      </c>
      <c r="T6" s="27">
        <v>2</v>
      </c>
      <c r="Y6" s="25">
        <v>4</v>
      </c>
      <c r="Z6" s="25">
        <v>6.5140000000000002</v>
      </c>
      <c r="AA6" s="28"/>
      <c r="AB6" s="28"/>
      <c r="AC6" s="25">
        <v>4</v>
      </c>
      <c r="AD6" s="25">
        <v>5.3230000000000004</v>
      </c>
      <c r="AE6" s="28"/>
      <c r="AG6" s="25">
        <v>4</v>
      </c>
      <c r="AH6" s="25">
        <v>5.1269999999999998</v>
      </c>
      <c r="AI6" s="28"/>
      <c r="AJ6" s="28"/>
      <c r="AK6" s="25">
        <v>4</v>
      </c>
      <c r="AL6" s="25">
        <v>2.9940000000000002</v>
      </c>
      <c r="AM6" s="28"/>
      <c r="AN6" s="28"/>
      <c r="AO6" s="28"/>
      <c r="AP6" s="28"/>
    </row>
    <row r="7" spans="1:81" s="25" customFormat="1" ht="20.25" customHeight="1" x14ac:dyDescent="0.45">
      <c r="A7" s="26"/>
      <c r="B7" s="25">
        <v>12</v>
      </c>
      <c r="C7" s="25">
        <v>2</v>
      </c>
      <c r="E7" s="25">
        <v>7</v>
      </c>
      <c r="F7" s="25">
        <v>2</v>
      </c>
      <c r="I7" s="25">
        <v>14</v>
      </c>
      <c r="J7" s="25">
        <v>2</v>
      </c>
      <c r="L7" s="25">
        <v>7</v>
      </c>
      <c r="M7" s="25">
        <v>2</v>
      </c>
      <c r="P7" s="27">
        <v>8</v>
      </c>
      <c r="Q7" s="27">
        <v>2</v>
      </c>
      <c r="S7" s="27">
        <v>7</v>
      </c>
      <c r="T7" s="27">
        <v>3</v>
      </c>
      <c r="Y7" s="25">
        <v>5</v>
      </c>
      <c r="Z7" s="25">
        <v>3.0649999999999999</v>
      </c>
      <c r="AA7" s="25">
        <f>Z7/Z8</f>
        <v>0.55455038899945719</v>
      </c>
      <c r="AB7" s="28"/>
      <c r="AC7" s="25">
        <v>5</v>
      </c>
      <c r="AD7" s="25">
        <v>7.798</v>
      </c>
      <c r="AE7" s="25">
        <f>AD8/AD7</f>
        <v>0.5323159784560143</v>
      </c>
      <c r="AG7" s="25">
        <v>5</v>
      </c>
      <c r="AH7" s="25">
        <v>10.471</v>
      </c>
      <c r="AI7" s="25">
        <f>AH8/AH7</f>
        <v>0.50033425651800212</v>
      </c>
      <c r="AJ7" s="28"/>
      <c r="AK7" s="25">
        <v>5</v>
      </c>
      <c r="AL7" s="25">
        <v>4.609</v>
      </c>
      <c r="AM7" s="25">
        <f>AL8/AL7</f>
        <v>0.73313083098285958</v>
      </c>
      <c r="AN7" s="28"/>
      <c r="AO7" s="28"/>
      <c r="AP7" s="28"/>
    </row>
    <row r="8" spans="1:81" s="25" customFormat="1" ht="20.25" customHeight="1" x14ac:dyDescent="0.45">
      <c r="A8" s="26"/>
      <c r="B8" s="25">
        <v>15</v>
      </c>
      <c r="C8" s="25">
        <v>3</v>
      </c>
      <c r="E8" s="25">
        <v>5</v>
      </c>
      <c r="F8" s="25">
        <v>2</v>
      </c>
      <c r="I8" s="25">
        <v>22</v>
      </c>
      <c r="J8" s="25">
        <v>2</v>
      </c>
      <c r="L8" s="25">
        <v>10</v>
      </c>
      <c r="M8" s="25">
        <v>2</v>
      </c>
      <c r="P8" s="27">
        <v>15</v>
      </c>
      <c r="Q8" s="27">
        <v>2</v>
      </c>
      <c r="S8" s="27">
        <v>11</v>
      </c>
      <c r="T8" s="27">
        <v>2</v>
      </c>
      <c r="Y8" s="25">
        <v>6</v>
      </c>
      <c r="Z8" s="25">
        <v>5.5270000000000001</v>
      </c>
      <c r="AA8" s="28"/>
      <c r="AB8" s="28"/>
      <c r="AC8" s="25">
        <v>6</v>
      </c>
      <c r="AD8" s="25">
        <v>4.1509999999999998</v>
      </c>
      <c r="AE8" s="28"/>
      <c r="AG8" s="25">
        <v>6</v>
      </c>
      <c r="AH8" s="25">
        <v>5.2389999999999999</v>
      </c>
      <c r="AI8" s="28"/>
      <c r="AJ8" s="28"/>
      <c r="AK8" s="25">
        <v>6</v>
      </c>
      <c r="AL8" s="25">
        <v>3.379</v>
      </c>
      <c r="AM8" s="28"/>
      <c r="AN8" s="28"/>
      <c r="AO8" s="28"/>
      <c r="AP8" s="28"/>
    </row>
    <row r="9" spans="1:81" s="25" customFormat="1" ht="20.25" customHeight="1" x14ac:dyDescent="0.45">
      <c r="A9" s="26"/>
      <c r="B9" s="25">
        <v>18</v>
      </c>
      <c r="C9" s="25">
        <v>2</v>
      </c>
      <c r="E9" s="25">
        <v>5</v>
      </c>
      <c r="F9" s="25">
        <v>1</v>
      </c>
      <c r="I9" s="25">
        <v>21</v>
      </c>
      <c r="J9" s="25">
        <v>4</v>
      </c>
      <c r="L9" s="25">
        <v>5</v>
      </c>
      <c r="M9" s="25">
        <v>2</v>
      </c>
      <c r="P9" s="27">
        <v>20</v>
      </c>
      <c r="Q9" s="27">
        <v>2</v>
      </c>
      <c r="S9" s="27">
        <v>5</v>
      </c>
      <c r="T9" s="27">
        <v>2</v>
      </c>
      <c r="Y9" s="25">
        <v>7</v>
      </c>
      <c r="Z9" s="25">
        <v>5.7709999999999999</v>
      </c>
      <c r="AA9" s="25">
        <f>Z10/Z9</f>
        <v>0.71928608560041585</v>
      </c>
      <c r="AB9" s="28"/>
      <c r="AC9" s="25">
        <v>7</v>
      </c>
      <c r="AD9" s="25">
        <v>4.7130000000000001</v>
      </c>
      <c r="AE9" s="25">
        <f>AD9/AD10</f>
        <v>0.70406334030475048</v>
      </c>
      <c r="AG9" s="25">
        <v>7</v>
      </c>
      <c r="AH9" s="25">
        <v>8.8309999999999995</v>
      </c>
      <c r="AI9" s="25">
        <f>AH10/AH9</f>
        <v>0.48454308685313102</v>
      </c>
      <c r="AJ9" s="28"/>
      <c r="AK9" s="25">
        <v>7</v>
      </c>
      <c r="AL9" s="25">
        <v>6.5970000000000004</v>
      </c>
      <c r="AM9" s="25">
        <f>AL10/AL9</f>
        <v>0.44489919660451721</v>
      </c>
      <c r="AN9" s="28"/>
      <c r="AO9" s="28"/>
      <c r="AP9" s="28"/>
    </row>
    <row r="10" spans="1:81" s="25" customFormat="1" ht="20.25" customHeight="1" x14ac:dyDescent="0.45">
      <c r="A10" s="26"/>
      <c r="B10" s="25">
        <v>17</v>
      </c>
      <c r="C10" s="25">
        <v>2</v>
      </c>
      <c r="E10" s="25">
        <v>7</v>
      </c>
      <c r="F10" s="25">
        <v>2</v>
      </c>
      <c r="I10" s="25">
        <v>17</v>
      </c>
      <c r="J10" s="25">
        <v>2</v>
      </c>
      <c r="L10" s="25">
        <v>3</v>
      </c>
      <c r="M10" s="25">
        <v>2</v>
      </c>
      <c r="P10" s="27">
        <v>10</v>
      </c>
      <c r="Q10" s="27">
        <v>2</v>
      </c>
      <c r="S10" s="27">
        <v>7</v>
      </c>
      <c r="T10" s="27">
        <v>1</v>
      </c>
      <c r="Y10" s="25">
        <v>8</v>
      </c>
      <c r="Z10" s="25">
        <v>4.1509999999999998</v>
      </c>
      <c r="AA10" s="28"/>
      <c r="AB10" s="28"/>
      <c r="AC10" s="25">
        <v>8</v>
      </c>
      <c r="AD10" s="25">
        <v>6.694</v>
      </c>
      <c r="AE10" s="28"/>
      <c r="AG10" s="25">
        <v>8</v>
      </c>
      <c r="AH10" s="25">
        <v>4.2789999999999999</v>
      </c>
      <c r="AI10" s="28"/>
      <c r="AJ10" s="28"/>
      <c r="AK10" s="25">
        <v>8</v>
      </c>
      <c r="AL10" s="25">
        <v>2.9350000000000001</v>
      </c>
      <c r="AM10" s="28"/>
      <c r="AN10" s="28"/>
      <c r="AO10" s="28"/>
      <c r="AP10" s="28"/>
    </row>
    <row r="11" spans="1:81" s="25" customFormat="1" ht="20.25" customHeight="1" x14ac:dyDescent="0.45">
      <c r="A11" s="26"/>
      <c r="B11" s="25">
        <v>18</v>
      </c>
      <c r="C11" s="25">
        <v>2</v>
      </c>
      <c r="D11" s="27">
        <f>D20</f>
        <v>7.5135135135135132</v>
      </c>
      <c r="E11" s="25">
        <v>2</v>
      </c>
      <c r="F11" s="25">
        <v>1</v>
      </c>
      <c r="I11" s="25">
        <v>21</v>
      </c>
      <c r="J11" s="25">
        <v>3</v>
      </c>
      <c r="L11" s="25">
        <v>8</v>
      </c>
      <c r="M11" s="25">
        <v>2</v>
      </c>
      <c r="P11" s="27">
        <v>15</v>
      </c>
      <c r="Q11" s="27">
        <v>2</v>
      </c>
      <c r="S11" s="27">
        <v>5</v>
      </c>
      <c r="T11" s="27">
        <v>1</v>
      </c>
      <c r="Y11" s="25">
        <v>9</v>
      </c>
      <c r="Z11" s="25">
        <v>4.8860000000000001</v>
      </c>
      <c r="AA11" s="25">
        <f>Z11/Z12</f>
        <v>0.7496164467628107</v>
      </c>
      <c r="AB11" s="28"/>
      <c r="AC11" s="25">
        <v>9</v>
      </c>
      <c r="AD11" s="25">
        <v>8.7910000000000004</v>
      </c>
      <c r="AE11" s="25">
        <f>AD12/AD11</f>
        <v>0.57797747696507795</v>
      </c>
      <c r="AG11" s="25">
        <v>9</v>
      </c>
      <c r="AH11" s="25">
        <v>5.5890000000000004</v>
      </c>
      <c r="AI11" s="25">
        <f>AH12/AH11</f>
        <v>0.86616568259080329</v>
      </c>
      <c r="AJ11" s="28"/>
      <c r="AK11" s="25">
        <v>9</v>
      </c>
      <c r="AL11" s="25">
        <v>8.0180000000000007</v>
      </c>
      <c r="AM11" s="25">
        <f>AL12/AL11</f>
        <v>0.4093290097281117</v>
      </c>
      <c r="AN11" s="28"/>
      <c r="AO11" s="28"/>
      <c r="AP11" s="28"/>
    </row>
    <row r="12" spans="1:81" s="25" customFormat="1" ht="20.25" customHeight="1" x14ac:dyDescent="0.45">
      <c r="A12" s="26"/>
      <c r="B12" s="25">
        <v>14</v>
      </c>
      <c r="C12" s="25">
        <v>2</v>
      </c>
      <c r="D12" s="27">
        <f>K20</f>
        <v>6.9729729729729728</v>
      </c>
      <c r="E12" s="25">
        <v>2</v>
      </c>
      <c r="F12" s="25">
        <v>2</v>
      </c>
      <c r="I12" s="25">
        <v>15</v>
      </c>
      <c r="J12" s="25">
        <v>2</v>
      </c>
      <c r="L12" s="25">
        <v>5</v>
      </c>
      <c r="M12" s="25">
        <v>1</v>
      </c>
      <c r="P12" s="27">
        <v>28</v>
      </c>
      <c r="Q12" s="27">
        <v>3</v>
      </c>
      <c r="R12" s="29"/>
      <c r="S12" s="27">
        <v>6</v>
      </c>
      <c r="T12" s="27">
        <v>2</v>
      </c>
      <c r="Y12" s="25">
        <v>10</v>
      </c>
      <c r="Z12" s="25">
        <v>6.5179999999999998</v>
      </c>
      <c r="AA12" s="28"/>
      <c r="AB12" s="28"/>
      <c r="AC12" s="25">
        <v>10</v>
      </c>
      <c r="AD12" s="25">
        <v>5.0810000000000004</v>
      </c>
      <c r="AE12" s="28"/>
      <c r="AG12" s="25">
        <v>10</v>
      </c>
      <c r="AH12" s="25">
        <v>4.8410000000000002</v>
      </c>
      <c r="AI12" s="28"/>
      <c r="AJ12" s="28"/>
      <c r="AK12" s="25">
        <v>10</v>
      </c>
      <c r="AL12" s="25">
        <v>3.282</v>
      </c>
      <c r="AM12" s="28"/>
      <c r="AN12" s="28"/>
      <c r="AO12" s="28"/>
      <c r="AP12" s="28"/>
    </row>
    <row r="13" spans="1:81" s="25" customFormat="1" ht="20.25" customHeight="1" x14ac:dyDescent="0.45">
      <c r="A13" s="26"/>
      <c r="B13" s="25">
        <v>15</v>
      </c>
      <c r="C13" s="25">
        <v>2</v>
      </c>
      <c r="D13" s="27">
        <f>R20</f>
        <v>7.1315789473684212</v>
      </c>
      <c r="E13" s="25">
        <v>10</v>
      </c>
      <c r="F13" s="25">
        <v>2</v>
      </c>
      <c r="I13" s="25">
        <v>15</v>
      </c>
      <c r="J13" s="25">
        <v>2</v>
      </c>
      <c r="L13" s="25">
        <v>6</v>
      </c>
      <c r="M13" s="25">
        <v>2</v>
      </c>
      <c r="P13" s="27">
        <v>11</v>
      </c>
      <c r="Q13" s="27">
        <v>2</v>
      </c>
      <c r="S13" s="27">
        <v>3</v>
      </c>
      <c r="T13" s="27">
        <v>2</v>
      </c>
      <c r="Y13" s="25">
        <v>11</v>
      </c>
      <c r="Z13" s="25">
        <v>3.827</v>
      </c>
      <c r="AA13" s="25">
        <f>Z13/Z14</f>
        <v>0.57818401571234324</v>
      </c>
      <c r="AB13" s="28"/>
      <c r="AC13" s="25">
        <v>11</v>
      </c>
      <c r="AD13" s="25">
        <v>6.8470000000000004</v>
      </c>
      <c r="AE13" s="25">
        <f>AD14/AD13</f>
        <v>0.87060026288885639</v>
      </c>
      <c r="AG13" s="25">
        <v>11</v>
      </c>
      <c r="AH13" s="25">
        <v>8.6010000000000009</v>
      </c>
      <c r="AI13" s="25">
        <f>AH14/AH13</f>
        <v>0.34554121613765837</v>
      </c>
      <c r="AJ13" s="28"/>
      <c r="AK13" s="25">
        <v>11</v>
      </c>
      <c r="AL13" s="25">
        <v>5.9039999999999999</v>
      </c>
      <c r="AM13" s="25">
        <f>AL14/AL13</f>
        <v>0.70054200542005418</v>
      </c>
      <c r="AN13" s="28"/>
      <c r="AO13" s="28"/>
      <c r="AP13" s="28"/>
    </row>
    <row r="14" spans="1:81" s="25" customFormat="1" ht="20.25" customHeight="1" x14ac:dyDescent="0.45">
      <c r="A14" s="26"/>
      <c r="B14" s="25">
        <v>20</v>
      </c>
      <c r="C14" s="25">
        <v>2</v>
      </c>
      <c r="D14" s="27">
        <f>G20</f>
        <v>2.3611111111111112</v>
      </c>
      <c r="E14" s="25">
        <v>6</v>
      </c>
      <c r="F14" s="25">
        <v>3</v>
      </c>
      <c r="I14" s="25">
        <v>9</v>
      </c>
      <c r="J14" s="25">
        <v>2</v>
      </c>
      <c r="L14" s="25">
        <v>11</v>
      </c>
      <c r="M14" s="25">
        <v>3</v>
      </c>
      <c r="P14" s="27">
        <v>26</v>
      </c>
      <c r="Q14" s="27">
        <v>3</v>
      </c>
      <c r="S14" s="27">
        <v>4</v>
      </c>
      <c r="T14" s="27">
        <v>2</v>
      </c>
      <c r="Y14" s="25">
        <v>12</v>
      </c>
      <c r="Z14" s="25">
        <v>6.6189999999999998</v>
      </c>
      <c r="AA14" s="28"/>
      <c r="AB14" s="28"/>
      <c r="AC14" s="25">
        <v>12</v>
      </c>
      <c r="AD14" s="25">
        <v>5.9610000000000003</v>
      </c>
      <c r="AE14" s="28"/>
      <c r="AG14" s="25">
        <v>12</v>
      </c>
      <c r="AH14" s="25">
        <v>2.972</v>
      </c>
      <c r="AI14" s="28"/>
      <c r="AJ14" s="28"/>
      <c r="AK14" s="25">
        <v>12</v>
      </c>
      <c r="AL14" s="25">
        <v>4.1360000000000001</v>
      </c>
      <c r="AM14" s="28"/>
      <c r="AN14" s="28"/>
      <c r="AO14" s="28"/>
      <c r="AP14" s="28"/>
    </row>
    <row r="15" spans="1:81" s="25" customFormat="1" ht="20.25" customHeight="1" x14ac:dyDescent="0.45">
      <c r="A15" s="26"/>
      <c r="B15" s="25">
        <v>15</v>
      </c>
      <c r="C15" s="25">
        <v>2</v>
      </c>
      <c r="D15" s="27">
        <f>N20</f>
        <v>3.6176470588235294</v>
      </c>
      <c r="E15" s="25">
        <v>3</v>
      </c>
      <c r="F15" s="25">
        <v>3</v>
      </c>
      <c r="I15" s="25">
        <v>7</v>
      </c>
      <c r="J15" s="25">
        <v>1</v>
      </c>
      <c r="L15" s="25">
        <v>4</v>
      </c>
      <c r="M15" s="25">
        <v>1</v>
      </c>
      <c r="P15" s="27">
        <v>21</v>
      </c>
      <c r="Q15" s="27">
        <v>2</v>
      </c>
      <c r="S15" s="27">
        <v>5</v>
      </c>
      <c r="T15" s="27">
        <v>2</v>
      </c>
      <c r="Y15" s="25">
        <v>13</v>
      </c>
      <c r="Z15" s="25">
        <v>9.1920000000000002</v>
      </c>
      <c r="AA15" s="25">
        <f>Z16/Z15</f>
        <v>0.33344212358572672</v>
      </c>
      <c r="AB15" s="28"/>
      <c r="AC15" s="25">
        <v>13</v>
      </c>
      <c r="AD15" s="25">
        <v>8.6679999999999993</v>
      </c>
      <c r="AE15" s="25">
        <f>AD16/AD15</f>
        <v>0.46492847254268582</v>
      </c>
      <c r="AG15" s="25">
        <v>13</v>
      </c>
      <c r="AH15" s="25">
        <v>5.0890000000000004</v>
      </c>
      <c r="AI15" s="25">
        <f>AH16/AH15</f>
        <v>0.88052662605619958</v>
      </c>
      <c r="AJ15" s="28"/>
      <c r="AK15" s="25">
        <v>13</v>
      </c>
      <c r="AL15" s="25">
        <v>10.122</v>
      </c>
      <c r="AM15" s="25">
        <f>AL16/AL15</f>
        <v>0.43499308437067769</v>
      </c>
      <c r="AN15" s="28"/>
      <c r="AO15" s="28"/>
      <c r="AP15" s="28"/>
    </row>
    <row r="16" spans="1:81" s="25" customFormat="1" ht="20.25" customHeight="1" x14ac:dyDescent="0.45">
      <c r="A16" s="26"/>
      <c r="B16" s="25">
        <v>16</v>
      </c>
      <c r="C16" s="25">
        <v>2</v>
      </c>
      <c r="D16" s="27">
        <f>U20</f>
        <v>3.4285714285714284</v>
      </c>
      <c r="E16" s="25">
        <v>6</v>
      </c>
      <c r="F16" s="25">
        <v>2</v>
      </c>
      <c r="I16" s="25">
        <v>14</v>
      </c>
      <c r="J16" s="25">
        <v>2</v>
      </c>
      <c r="L16" s="25">
        <v>9</v>
      </c>
      <c r="M16" s="25">
        <v>2</v>
      </c>
      <c r="P16" s="27">
        <v>17</v>
      </c>
      <c r="Q16" s="27">
        <v>2</v>
      </c>
      <c r="S16" s="27">
        <v>7</v>
      </c>
      <c r="T16" s="27">
        <v>2</v>
      </c>
      <c r="Y16" s="25">
        <v>14</v>
      </c>
      <c r="Z16" s="25">
        <v>3.0649999999999999</v>
      </c>
      <c r="AA16" s="28"/>
      <c r="AB16" s="28"/>
      <c r="AC16" s="25">
        <v>14</v>
      </c>
      <c r="AD16" s="25">
        <v>4.03</v>
      </c>
      <c r="AE16" s="28"/>
      <c r="AG16" s="25">
        <v>14</v>
      </c>
      <c r="AH16" s="25">
        <v>4.4809999999999999</v>
      </c>
      <c r="AI16" s="28"/>
      <c r="AJ16" s="28"/>
      <c r="AK16" s="25">
        <v>14</v>
      </c>
      <c r="AL16" s="25">
        <v>4.4029999999999996</v>
      </c>
      <c r="AM16" s="28"/>
      <c r="AN16" s="28"/>
      <c r="AO16" s="28"/>
      <c r="AP16" s="28"/>
    </row>
    <row r="17" spans="1:42" s="25" customFormat="1" ht="20.25" customHeight="1" x14ac:dyDescent="0.45">
      <c r="A17" s="26"/>
      <c r="B17" s="25">
        <v>19</v>
      </c>
      <c r="C17" s="25">
        <v>2</v>
      </c>
      <c r="E17" s="25">
        <v>9</v>
      </c>
      <c r="F17" s="25">
        <v>3</v>
      </c>
      <c r="I17" s="25">
        <v>6</v>
      </c>
      <c r="J17" s="25">
        <v>2</v>
      </c>
      <c r="L17" s="25">
        <v>9</v>
      </c>
      <c r="M17" s="25">
        <v>2</v>
      </c>
      <c r="P17" s="27">
        <v>5</v>
      </c>
      <c r="Q17" s="27">
        <v>2</v>
      </c>
      <c r="S17" s="27">
        <v>11</v>
      </c>
      <c r="T17" s="27">
        <v>3</v>
      </c>
      <c r="Y17" s="25">
        <v>15</v>
      </c>
      <c r="Z17" s="25">
        <v>5.7110000000000003</v>
      </c>
      <c r="AA17" s="25">
        <f>Z18/Z17</f>
        <v>0.83032743827700928</v>
      </c>
      <c r="AB17" s="28"/>
      <c r="AC17" s="25">
        <v>15</v>
      </c>
      <c r="AD17" s="25">
        <v>6.4610000000000003</v>
      </c>
      <c r="AE17" s="25">
        <f>AD18/AD17</f>
        <v>0.43042872620337408</v>
      </c>
      <c r="AG17" s="25">
        <v>15</v>
      </c>
      <c r="AH17" s="25">
        <v>7.085</v>
      </c>
      <c r="AI17" s="25">
        <f>AH18/AH17</f>
        <v>0.9489061397318278</v>
      </c>
      <c r="AJ17" s="28"/>
      <c r="AK17" s="25">
        <v>15</v>
      </c>
      <c r="AL17" s="25">
        <v>9.7469999999999999</v>
      </c>
      <c r="AM17" s="25">
        <f>AL18/AL17</f>
        <v>0.33671899045860265</v>
      </c>
      <c r="AN17" s="28"/>
      <c r="AO17" s="28"/>
      <c r="AP17" s="28"/>
    </row>
    <row r="18" spans="1:42" s="25" customFormat="1" ht="20.25" customHeight="1" x14ac:dyDescent="0.45">
      <c r="A18" s="26"/>
      <c r="B18" s="25">
        <v>10</v>
      </c>
      <c r="C18" s="25">
        <v>2</v>
      </c>
      <c r="E18" s="25">
        <v>4</v>
      </c>
      <c r="F18" s="25">
        <v>2</v>
      </c>
      <c r="I18" s="25">
        <v>17</v>
      </c>
      <c r="J18" s="25">
        <v>2</v>
      </c>
      <c r="L18" s="25">
        <v>3</v>
      </c>
      <c r="M18" s="25">
        <v>2</v>
      </c>
      <c r="P18" s="27">
        <v>15</v>
      </c>
      <c r="Q18" s="27">
        <v>2</v>
      </c>
      <c r="S18" s="27">
        <v>8</v>
      </c>
      <c r="T18" s="27">
        <v>2</v>
      </c>
      <c r="Y18" s="25">
        <v>16</v>
      </c>
      <c r="Z18" s="25">
        <v>4.742</v>
      </c>
      <c r="AA18" s="28"/>
      <c r="AB18" s="28"/>
      <c r="AC18" s="25">
        <v>16</v>
      </c>
      <c r="AD18" s="25">
        <v>2.7810000000000001</v>
      </c>
      <c r="AE18" s="28"/>
      <c r="AG18" s="25">
        <v>16</v>
      </c>
      <c r="AH18" s="25">
        <v>6.7229999999999999</v>
      </c>
      <c r="AI18" s="28"/>
      <c r="AJ18" s="28"/>
      <c r="AK18" s="25">
        <v>16</v>
      </c>
      <c r="AL18" s="25">
        <v>3.282</v>
      </c>
      <c r="AM18" s="28"/>
      <c r="AN18" s="28"/>
      <c r="AO18" s="28"/>
      <c r="AP18" s="28"/>
    </row>
    <row r="19" spans="1:42" s="25" customFormat="1" ht="20.25" customHeight="1" x14ac:dyDescent="0.45">
      <c r="A19" s="26"/>
      <c r="B19" s="25">
        <v>11</v>
      </c>
      <c r="C19" s="25">
        <v>2</v>
      </c>
      <c r="E19" s="25">
        <v>3</v>
      </c>
      <c r="F19" s="25">
        <v>2</v>
      </c>
      <c r="I19" s="25">
        <v>16</v>
      </c>
      <c r="J19" s="25">
        <v>2</v>
      </c>
      <c r="L19" s="25">
        <v>8</v>
      </c>
      <c r="M19" s="25">
        <v>2</v>
      </c>
      <c r="P19" s="27">
        <v>8</v>
      </c>
      <c r="Q19" s="27">
        <v>2</v>
      </c>
      <c r="S19" s="27">
        <v>6</v>
      </c>
      <c r="T19" s="27">
        <v>2</v>
      </c>
      <c r="Y19" s="25">
        <v>17</v>
      </c>
      <c r="Z19" s="25">
        <v>3.8780000000000001</v>
      </c>
      <c r="AA19" s="25">
        <f>Z19/Z20</f>
        <v>0.48030715878127322</v>
      </c>
      <c r="AB19" s="28"/>
      <c r="AC19" s="25">
        <v>17</v>
      </c>
      <c r="AD19" s="25">
        <v>6.532</v>
      </c>
      <c r="AE19" s="25">
        <f>AD20/AD19</f>
        <v>0.72887323943661975</v>
      </c>
      <c r="AG19" s="25">
        <v>17</v>
      </c>
      <c r="AH19" s="25">
        <v>7.524</v>
      </c>
      <c r="AI19" s="25">
        <f>AH20/AH19</f>
        <v>0.95122275385433275</v>
      </c>
      <c r="AJ19" s="28"/>
      <c r="AK19" s="25">
        <v>17</v>
      </c>
      <c r="AL19" s="25">
        <v>10.446999999999999</v>
      </c>
      <c r="AM19" s="25">
        <f>AL20/AL19</f>
        <v>0.38575667655786355</v>
      </c>
      <c r="AN19" s="28"/>
      <c r="AO19" s="28"/>
      <c r="AP19" s="28"/>
    </row>
    <row r="20" spans="1:42" s="25" customFormat="1" ht="20.25" customHeight="1" x14ac:dyDescent="0.45">
      <c r="A20" s="26"/>
      <c r="B20" s="25">
        <f>B2+B3+B4+B5+B6+B7+B8+B9+B10+B11+B12+B13+B14+B15+B16+B17+B18+B19</f>
        <v>278</v>
      </c>
      <c r="C20" s="25">
        <f>C2+C3+C4+C5+C6+C7+C8+C9+C10+C11+C12+C13+C14+C15+C16+C17+C18+C19</f>
        <v>37</v>
      </c>
      <c r="D20" s="25">
        <f>B20/C20</f>
        <v>7.5135135135135132</v>
      </c>
      <c r="E20" s="25">
        <f>E2+E3+E4+E5+E6+E7+E8+E9+E10+E11+E12+E13+E14+E15+E16+E17+E18+E19</f>
        <v>85</v>
      </c>
      <c r="F20" s="25">
        <f>F2+F3+F4+F5+F6+F7+F8+F9+F10+F11+F12+F13+F14+F15+F16+F17+F18+F19</f>
        <v>36</v>
      </c>
      <c r="G20" s="25">
        <f>E20/F20</f>
        <v>2.3611111111111112</v>
      </c>
      <c r="I20" s="25">
        <f>I2+I3+I4+I5+I6+I7+I8+I9+I10+I11+I12+I13+I14+I15+I16+I17+I18+I19</f>
        <v>258</v>
      </c>
      <c r="J20" s="25">
        <f>J2+J3+J4+J5+J6+J7+J8+J9+J10+J11+J12+J13+J14+J15+J16+J17+J18+J19</f>
        <v>37</v>
      </c>
      <c r="K20" s="25">
        <f>I20/J20</f>
        <v>6.9729729729729728</v>
      </c>
      <c r="L20" s="25">
        <f>L2+L3+L4+L5+L6+L7+L8+L9+L10+L11+L12+L13+L14+L15+L16+L17+L18+L19</f>
        <v>123</v>
      </c>
      <c r="M20" s="25">
        <f>M2+M3+M4+M5+M6+M7+M8+M9+M10+M11+M12+M13+M14+M15+M16+M17+M18+M19</f>
        <v>34</v>
      </c>
      <c r="N20" s="25">
        <f>L20/M20</f>
        <v>3.6176470588235294</v>
      </c>
      <c r="P20" s="27">
        <f>SUM(P2:P19)</f>
        <v>271</v>
      </c>
      <c r="Q20" s="27">
        <f>Q2+Q3+Q4+Q5+Q6+Q7+Q8+Q9+Q10+Q11+Q12+Q13+Q14+Q15+Q16+Q17+Q18+Q19</f>
        <v>38</v>
      </c>
      <c r="R20" s="27">
        <f>P20/Q20</f>
        <v>7.1315789473684212</v>
      </c>
      <c r="S20" s="27">
        <f>SUM(S2:S19)</f>
        <v>120</v>
      </c>
      <c r="T20" s="27">
        <f>SUM(T2:T19)</f>
        <v>35</v>
      </c>
      <c r="U20" s="27">
        <f>S20/T20</f>
        <v>3.4285714285714284</v>
      </c>
      <c r="Y20" s="25">
        <v>18</v>
      </c>
      <c r="Z20" s="25">
        <v>8.0739999999999998</v>
      </c>
      <c r="AA20" s="28"/>
      <c r="AB20" s="28"/>
      <c r="AC20" s="25">
        <v>18</v>
      </c>
      <c r="AD20" s="25">
        <v>4.7610000000000001</v>
      </c>
      <c r="AE20" s="28"/>
      <c r="AG20" s="25">
        <v>18</v>
      </c>
      <c r="AH20" s="25">
        <v>7.157</v>
      </c>
      <c r="AI20" s="28"/>
      <c r="AJ20" s="28"/>
      <c r="AK20" s="25">
        <v>18</v>
      </c>
      <c r="AL20" s="25">
        <v>4.03</v>
      </c>
      <c r="AM20" s="28"/>
      <c r="AN20" s="28"/>
      <c r="AO20" s="28"/>
      <c r="AP20" s="28"/>
    </row>
    <row r="21" spans="1:42" s="25" customFormat="1" ht="20.25" customHeight="1" x14ac:dyDescent="0.45">
      <c r="A21" s="26"/>
      <c r="B21" s="28"/>
      <c r="J21" s="27">
        <f>STDEV(D20,K20,R20)</f>
        <v>0.27785306185651104</v>
      </c>
      <c r="K21" s="27">
        <f>STDEV(G20,N20,U20)</f>
        <v>0.67750814401024817</v>
      </c>
      <c r="M21" s="27">
        <f>AVERAGE(D20,K20,R20)</f>
        <v>7.2060218112849697</v>
      </c>
      <c r="N21" s="27">
        <f>AVERAGE(G20,N20,U20)</f>
        <v>3.1357765328353562</v>
      </c>
      <c r="Y21" s="25">
        <v>19</v>
      </c>
      <c r="Z21" s="25">
        <v>4.7919999999999998</v>
      </c>
      <c r="AA21" s="25">
        <f>Z21/Z22</f>
        <v>0.92278066628153288</v>
      </c>
      <c r="AB21" s="28"/>
      <c r="AC21" s="25">
        <v>19</v>
      </c>
      <c r="AD21" s="25">
        <v>4.7050000000000001</v>
      </c>
      <c r="AE21" s="25">
        <f>AD22/AD21</f>
        <v>0.88225292242295428</v>
      </c>
      <c r="AG21" s="25">
        <v>19</v>
      </c>
      <c r="AH21" s="25">
        <v>6.1920000000000002</v>
      </c>
      <c r="AI21" s="25">
        <f>AH21/AH22</f>
        <v>0.95777262180974487</v>
      </c>
      <c r="AJ21" s="28"/>
      <c r="AK21" s="25">
        <v>19</v>
      </c>
      <c r="AL21" s="25">
        <v>10.452999999999999</v>
      </c>
      <c r="AM21" s="25">
        <f>AL22/AL21</f>
        <v>0.320195159284416</v>
      </c>
      <c r="AN21" s="28"/>
      <c r="AO21" s="28"/>
      <c r="AP21" s="28"/>
    </row>
    <row r="22" spans="1:42" s="25" customFormat="1" ht="20.25" customHeight="1" x14ac:dyDescent="0.45">
      <c r="A22" s="30" t="s">
        <v>13</v>
      </c>
      <c r="I22" s="27" t="s">
        <v>14</v>
      </c>
      <c r="J22" s="27">
        <f>TTEST(D11:D13,D14:D16,2,2)</f>
        <v>6.5088279765494425E-4</v>
      </c>
      <c r="Y22" s="25">
        <v>20</v>
      </c>
      <c r="Z22" s="25">
        <v>5.1929999999999996</v>
      </c>
      <c r="AA22" s="28"/>
      <c r="AB22" s="28"/>
      <c r="AC22" s="25">
        <v>20</v>
      </c>
      <c r="AD22" s="25">
        <v>4.1509999999999998</v>
      </c>
      <c r="AE22" s="28"/>
      <c r="AG22" s="25">
        <v>20</v>
      </c>
      <c r="AH22" s="25">
        <v>6.4649999999999999</v>
      </c>
      <c r="AI22" s="28"/>
      <c r="AJ22" s="28"/>
      <c r="AK22" s="25">
        <v>20</v>
      </c>
      <c r="AL22" s="25">
        <v>3.347</v>
      </c>
      <c r="AM22" s="28"/>
      <c r="AN22" s="28"/>
      <c r="AO22" s="28"/>
      <c r="AP22" s="28"/>
    </row>
    <row r="23" spans="1:42" s="25" customFormat="1" ht="20.25" customHeight="1" x14ac:dyDescent="0.45">
      <c r="A23" s="30" t="s">
        <v>10</v>
      </c>
      <c r="B23" s="25" t="s">
        <v>15</v>
      </c>
      <c r="C23" s="25" t="s">
        <v>16</v>
      </c>
      <c r="E23" s="25" t="s">
        <v>8</v>
      </c>
      <c r="F23" s="25" t="s">
        <v>15</v>
      </c>
      <c r="G23" s="25" t="s">
        <v>16</v>
      </c>
      <c r="I23" s="25" t="s">
        <v>10</v>
      </c>
      <c r="J23" s="25" t="s">
        <v>15</v>
      </c>
      <c r="K23" s="25" t="s">
        <v>16</v>
      </c>
      <c r="L23" s="25" t="s">
        <v>8</v>
      </c>
      <c r="M23" s="25" t="s">
        <v>15</v>
      </c>
      <c r="N23" s="25" t="s">
        <v>16</v>
      </c>
      <c r="P23" s="25" t="s">
        <v>10</v>
      </c>
      <c r="Q23" s="25" t="s">
        <v>15</v>
      </c>
      <c r="R23" s="25" t="s">
        <v>16</v>
      </c>
      <c r="S23" s="25" t="s">
        <v>8</v>
      </c>
      <c r="T23" s="25" t="s">
        <v>15</v>
      </c>
      <c r="U23" s="25" t="s">
        <v>16</v>
      </c>
      <c r="Y23" s="25" t="s">
        <v>17</v>
      </c>
      <c r="AA23" s="25">
        <f>SUM(AA3:AA22)</f>
        <v>6.5040024218781056</v>
      </c>
      <c r="AB23" s="28"/>
      <c r="AC23" s="28"/>
      <c r="AD23" s="28"/>
      <c r="AE23" s="25">
        <f>SUM(AE3:AE22)</f>
        <v>6.0145294203023942</v>
      </c>
      <c r="AG23" s="25" t="s">
        <v>17</v>
      </c>
      <c r="AI23" s="25">
        <f>SUM(AI3:AI22)</f>
        <v>7.1177962010579776</v>
      </c>
      <c r="AM23" s="25">
        <f>SUM(AM3:AM22)</f>
        <v>4.9356697186452525</v>
      </c>
    </row>
    <row r="24" spans="1:42" s="25" customFormat="1" ht="20.25" customHeight="1" x14ac:dyDescent="0.45">
      <c r="A24" s="30" t="s">
        <v>11</v>
      </c>
      <c r="B24" s="25">
        <v>4</v>
      </c>
      <c r="C24" s="25">
        <v>0</v>
      </c>
      <c r="E24" s="28"/>
      <c r="F24" s="25">
        <v>0</v>
      </c>
      <c r="G24" s="25">
        <v>3</v>
      </c>
      <c r="I24" s="25" t="s">
        <v>12</v>
      </c>
      <c r="J24" s="25">
        <v>0</v>
      </c>
      <c r="K24" s="25">
        <v>2</v>
      </c>
      <c r="M24" s="25">
        <v>3</v>
      </c>
      <c r="N24" s="25">
        <v>2</v>
      </c>
      <c r="P24" s="27" t="s">
        <v>18</v>
      </c>
      <c r="Q24" s="27">
        <v>5</v>
      </c>
      <c r="R24" s="27">
        <v>1</v>
      </c>
      <c r="T24" s="27">
        <v>1</v>
      </c>
      <c r="U24" s="27">
        <v>3</v>
      </c>
      <c r="AB24" s="28"/>
      <c r="AC24" s="28"/>
      <c r="AD24" s="28"/>
    </row>
    <row r="25" spans="1:42" s="25" customFormat="1" ht="20.25" customHeight="1" x14ac:dyDescent="0.45">
      <c r="A25" s="26"/>
      <c r="B25" s="25">
        <v>5</v>
      </c>
      <c r="C25" s="25">
        <v>0</v>
      </c>
      <c r="E25" s="28"/>
      <c r="F25" s="25">
        <v>3</v>
      </c>
      <c r="G25" s="25">
        <v>1</v>
      </c>
      <c r="I25" s="28"/>
      <c r="J25" s="25">
        <v>3</v>
      </c>
      <c r="K25" s="25">
        <v>1</v>
      </c>
      <c r="M25" s="25">
        <v>1</v>
      </c>
      <c r="N25" s="25">
        <v>3</v>
      </c>
      <c r="Q25" s="27">
        <v>1</v>
      </c>
      <c r="R25" s="27">
        <v>2</v>
      </c>
      <c r="T25" s="27">
        <v>2</v>
      </c>
      <c r="U25" s="27">
        <v>2</v>
      </c>
      <c r="Y25" s="25" t="s">
        <v>19</v>
      </c>
      <c r="AB25" s="28"/>
      <c r="AC25" s="28"/>
      <c r="AD25" s="28"/>
      <c r="AG25" s="25" t="s">
        <v>20</v>
      </c>
    </row>
    <row r="26" spans="1:42" s="25" customFormat="1" ht="20.25" customHeight="1" x14ac:dyDescent="0.45">
      <c r="A26" s="26"/>
      <c r="B26" s="25">
        <v>4</v>
      </c>
      <c r="C26" s="25">
        <v>2</v>
      </c>
      <c r="E26" s="28"/>
      <c r="F26" s="25">
        <v>1</v>
      </c>
      <c r="G26" s="25">
        <v>3</v>
      </c>
      <c r="I26" s="28"/>
      <c r="J26" s="25">
        <v>1</v>
      </c>
      <c r="K26" s="25">
        <v>3</v>
      </c>
      <c r="M26" s="25">
        <v>0</v>
      </c>
      <c r="N26" s="25">
        <v>3</v>
      </c>
      <c r="Q26" s="27">
        <v>3</v>
      </c>
      <c r="R26" s="27">
        <v>0</v>
      </c>
      <c r="T26" s="27">
        <v>1</v>
      </c>
      <c r="U26" s="27">
        <v>1</v>
      </c>
      <c r="Y26" s="25">
        <v>1</v>
      </c>
      <c r="Z26" s="25">
        <v>7.1849999999999996</v>
      </c>
      <c r="AA26" s="25">
        <f>Z27/Z26</f>
        <v>0.60904662491301331</v>
      </c>
      <c r="AB26" s="28"/>
      <c r="AC26" s="25">
        <v>1</v>
      </c>
      <c r="AD26" s="25">
        <v>10.025</v>
      </c>
      <c r="AE26" s="25">
        <f>AD27/AD26</f>
        <v>0.42234413965087281</v>
      </c>
      <c r="AF26" s="28"/>
      <c r="AG26" s="25">
        <v>1</v>
      </c>
      <c r="AH26" s="25">
        <v>6.0519999999999996</v>
      </c>
      <c r="AI26" s="25">
        <f>AH27/AH26</f>
        <v>0.75214805023132847</v>
      </c>
      <c r="AJ26" s="28"/>
      <c r="AK26" s="25">
        <v>1</v>
      </c>
      <c r="AL26" s="25">
        <v>16.445</v>
      </c>
      <c r="AM26" s="25">
        <f>AL27/AL26</f>
        <v>0.20547278808148373</v>
      </c>
      <c r="AN26" s="28"/>
      <c r="AO26" s="28"/>
      <c r="AP26" s="28"/>
    </row>
    <row r="27" spans="1:42" s="25" customFormat="1" ht="20.25" customHeight="1" x14ac:dyDescent="0.45">
      <c r="A27" s="26"/>
      <c r="B27" s="25">
        <v>4</v>
      </c>
      <c r="C27" s="25">
        <v>1</v>
      </c>
      <c r="E27" s="28"/>
      <c r="F27" s="25">
        <v>0</v>
      </c>
      <c r="G27" s="25">
        <v>5</v>
      </c>
      <c r="I27" s="28"/>
      <c r="J27" s="25">
        <v>0</v>
      </c>
      <c r="K27" s="25">
        <v>3</v>
      </c>
      <c r="M27" s="25">
        <v>2</v>
      </c>
      <c r="N27" s="25">
        <v>2</v>
      </c>
      <c r="Q27" s="27">
        <v>4</v>
      </c>
      <c r="R27" s="27">
        <v>3</v>
      </c>
      <c r="T27" s="27">
        <v>4</v>
      </c>
      <c r="U27" s="27">
        <v>1</v>
      </c>
      <c r="Y27" s="25">
        <v>2</v>
      </c>
      <c r="Z27" s="25">
        <v>4.3760000000000003</v>
      </c>
      <c r="AB27" s="28"/>
      <c r="AC27" s="25">
        <v>2</v>
      </c>
      <c r="AD27" s="25">
        <v>4.234</v>
      </c>
      <c r="AE27" s="28"/>
      <c r="AF27" s="28"/>
      <c r="AG27" s="25">
        <v>2</v>
      </c>
      <c r="AH27" s="25">
        <v>4.5519999999999996</v>
      </c>
      <c r="AI27" s="28"/>
      <c r="AJ27" s="28"/>
      <c r="AK27" s="25">
        <v>2</v>
      </c>
      <c r="AL27" s="25">
        <v>3.379</v>
      </c>
      <c r="AM27" s="28"/>
      <c r="AN27" s="28"/>
      <c r="AO27" s="28"/>
      <c r="AP27" s="28"/>
    </row>
    <row r="28" spans="1:42" s="25" customFormat="1" ht="20.25" customHeight="1" x14ac:dyDescent="0.45">
      <c r="A28" s="26"/>
      <c r="B28" s="25">
        <v>2</v>
      </c>
      <c r="C28" s="25">
        <v>1</v>
      </c>
      <c r="E28" s="28"/>
      <c r="F28" s="25">
        <v>3</v>
      </c>
      <c r="G28" s="25">
        <v>2</v>
      </c>
      <c r="I28" s="28"/>
      <c r="J28" s="25">
        <v>2</v>
      </c>
      <c r="K28" s="25">
        <v>2</v>
      </c>
      <c r="M28" s="25">
        <v>0</v>
      </c>
      <c r="N28" s="25">
        <v>3</v>
      </c>
      <c r="Q28" s="27">
        <v>3</v>
      </c>
      <c r="R28" s="27">
        <v>1</v>
      </c>
      <c r="T28" s="27">
        <v>1</v>
      </c>
      <c r="U28" s="27">
        <v>4</v>
      </c>
      <c r="Y28" s="25">
        <v>3</v>
      </c>
      <c r="Z28" s="25">
        <v>4.5049999999999999</v>
      </c>
      <c r="AA28" s="25">
        <f>Z29/Z28</f>
        <v>0.88634850166481682</v>
      </c>
      <c r="AB28" s="28"/>
      <c r="AC28" s="25">
        <v>3</v>
      </c>
      <c r="AD28" s="25">
        <v>11.387</v>
      </c>
      <c r="AE28" s="25">
        <f>AD29/AD28</f>
        <v>0.35883024501624661</v>
      </c>
      <c r="AF28" s="28"/>
      <c r="AG28" s="25">
        <v>3</v>
      </c>
      <c r="AH28" s="25">
        <v>5.907</v>
      </c>
      <c r="AI28" s="25">
        <f>AH29/AH28</f>
        <v>0.66666666666666674</v>
      </c>
      <c r="AJ28" s="28"/>
      <c r="AK28" s="25">
        <v>3</v>
      </c>
      <c r="AL28" s="25">
        <v>10.38</v>
      </c>
      <c r="AM28" s="25">
        <f>AL29/AL28</f>
        <v>0.44036608863198451</v>
      </c>
      <c r="AN28" s="28"/>
      <c r="AO28" s="28"/>
      <c r="AP28" s="28"/>
    </row>
    <row r="29" spans="1:42" s="25" customFormat="1" ht="20.25" customHeight="1" x14ac:dyDescent="0.45">
      <c r="A29" s="26"/>
      <c r="B29" s="25">
        <v>2</v>
      </c>
      <c r="C29" s="25">
        <v>2</v>
      </c>
      <c r="E29" s="28"/>
      <c r="F29" s="25">
        <v>0</v>
      </c>
      <c r="G29" s="25">
        <v>4</v>
      </c>
      <c r="I29" s="28"/>
      <c r="J29" s="25">
        <v>0</v>
      </c>
      <c r="K29" s="25">
        <v>4</v>
      </c>
      <c r="M29" s="25">
        <v>1</v>
      </c>
      <c r="N29" s="25">
        <v>4</v>
      </c>
      <c r="Q29" s="27">
        <v>1</v>
      </c>
      <c r="R29" s="27">
        <v>4</v>
      </c>
      <c r="T29" s="27">
        <v>1</v>
      </c>
      <c r="U29" s="27">
        <v>5</v>
      </c>
      <c r="Y29" s="25">
        <v>4</v>
      </c>
      <c r="Z29" s="25">
        <v>3.9929999999999999</v>
      </c>
      <c r="AB29" s="28"/>
      <c r="AC29" s="25">
        <v>4</v>
      </c>
      <c r="AD29" s="25">
        <v>4.0860000000000003</v>
      </c>
      <c r="AE29" s="28"/>
      <c r="AF29" s="28"/>
      <c r="AG29" s="25">
        <v>4</v>
      </c>
      <c r="AH29" s="25">
        <v>3.9380000000000002</v>
      </c>
      <c r="AI29" s="28"/>
      <c r="AJ29" s="28"/>
      <c r="AK29" s="25">
        <v>4</v>
      </c>
      <c r="AL29" s="25">
        <v>4.5709999999999997</v>
      </c>
      <c r="AM29" s="28"/>
      <c r="AN29" s="28"/>
      <c r="AO29" s="28"/>
      <c r="AP29" s="28"/>
    </row>
    <row r="30" spans="1:42" s="25" customFormat="1" ht="20.25" customHeight="1" x14ac:dyDescent="0.45">
      <c r="A30" s="26"/>
      <c r="B30" s="25">
        <v>3</v>
      </c>
      <c r="C30" s="25">
        <v>1</v>
      </c>
      <c r="E30" s="28"/>
      <c r="F30" s="25">
        <v>3</v>
      </c>
      <c r="G30" s="25">
        <v>4</v>
      </c>
      <c r="I30" s="28"/>
      <c r="J30" s="25">
        <v>0</v>
      </c>
      <c r="K30" s="25">
        <v>4</v>
      </c>
      <c r="M30" s="25">
        <v>1</v>
      </c>
      <c r="N30" s="25">
        <v>1</v>
      </c>
      <c r="Q30" s="27">
        <v>2</v>
      </c>
      <c r="R30" s="27">
        <v>2</v>
      </c>
      <c r="T30" s="27">
        <v>1</v>
      </c>
      <c r="U30" s="27">
        <v>3</v>
      </c>
      <c r="Y30" s="25">
        <v>5</v>
      </c>
      <c r="Z30" s="25">
        <v>10.545</v>
      </c>
      <c r="AA30" s="25">
        <f>Z31/Z30</f>
        <v>0.38672356567093413</v>
      </c>
      <c r="AB30" s="28"/>
      <c r="AC30" s="25">
        <v>5</v>
      </c>
      <c r="AD30" s="25">
        <v>7.3689999999999998</v>
      </c>
      <c r="AE30" s="25">
        <f>AD31/AD30</f>
        <v>0.42814493146967025</v>
      </c>
      <c r="AF30" s="28"/>
      <c r="AG30" s="25">
        <v>5</v>
      </c>
      <c r="AH30" s="25">
        <v>6.8280000000000003</v>
      </c>
      <c r="AI30" s="25">
        <f>AH31/AH30</f>
        <v>0.58479789103690683</v>
      </c>
      <c r="AJ30" s="28"/>
      <c r="AK30" s="25">
        <v>5</v>
      </c>
      <c r="AL30" s="25">
        <v>12.247999999999999</v>
      </c>
      <c r="AM30" s="25">
        <f>AL31/AL30</f>
        <v>0.33940235140431091</v>
      </c>
      <c r="AN30" s="28"/>
      <c r="AO30" s="28"/>
      <c r="AP30" s="28"/>
    </row>
    <row r="31" spans="1:42" s="25" customFormat="1" ht="20.25" customHeight="1" x14ac:dyDescent="0.45">
      <c r="A31" s="26"/>
      <c r="B31" s="25">
        <v>1</v>
      </c>
      <c r="C31" s="25">
        <v>3</v>
      </c>
      <c r="E31" s="28"/>
      <c r="F31" s="25">
        <v>1</v>
      </c>
      <c r="G31" s="25">
        <v>2</v>
      </c>
      <c r="I31" s="28"/>
      <c r="J31" s="25">
        <v>1</v>
      </c>
      <c r="K31" s="25">
        <v>3</v>
      </c>
      <c r="M31" s="25">
        <v>0</v>
      </c>
      <c r="N31" s="25">
        <v>2</v>
      </c>
      <c r="Q31" s="27">
        <v>3</v>
      </c>
      <c r="R31" s="27">
        <v>1</v>
      </c>
      <c r="T31" s="27">
        <v>1</v>
      </c>
      <c r="U31" s="27">
        <v>4</v>
      </c>
      <c r="Y31" s="25">
        <v>6</v>
      </c>
      <c r="Z31" s="25">
        <v>4.0780000000000003</v>
      </c>
      <c r="AB31" s="28"/>
      <c r="AC31" s="25">
        <v>6</v>
      </c>
      <c r="AD31" s="25">
        <v>3.1549999999999998</v>
      </c>
      <c r="AE31" s="28"/>
      <c r="AF31" s="28"/>
      <c r="AG31" s="25">
        <v>6</v>
      </c>
      <c r="AH31" s="25">
        <v>3.9929999999999999</v>
      </c>
      <c r="AI31" s="28"/>
      <c r="AJ31" s="28"/>
      <c r="AK31" s="25">
        <v>6</v>
      </c>
      <c r="AL31" s="25">
        <v>4.157</v>
      </c>
      <c r="AM31" s="28"/>
      <c r="AN31" s="28"/>
      <c r="AO31" s="28"/>
      <c r="AP31" s="28"/>
    </row>
    <row r="32" spans="1:42" s="25" customFormat="1" ht="20.25" customHeight="1" x14ac:dyDescent="0.45">
      <c r="A32" s="26"/>
      <c r="B32" s="25">
        <v>1</v>
      </c>
      <c r="C32" s="25">
        <v>3</v>
      </c>
      <c r="E32" s="28"/>
      <c r="F32" s="25">
        <v>0</v>
      </c>
      <c r="G32" s="25">
        <v>4</v>
      </c>
      <c r="I32" s="28"/>
      <c r="J32" s="25">
        <v>1</v>
      </c>
      <c r="K32" s="25">
        <v>3</v>
      </c>
      <c r="M32" s="25">
        <v>0</v>
      </c>
      <c r="N32" s="25">
        <v>2</v>
      </c>
      <c r="Q32" s="27">
        <v>3</v>
      </c>
      <c r="R32" s="27">
        <v>1</v>
      </c>
      <c r="T32" s="27">
        <v>2</v>
      </c>
      <c r="U32" s="27">
        <v>2</v>
      </c>
      <c r="Y32" s="25">
        <v>7</v>
      </c>
      <c r="Z32" s="25">
        <v>5.4329999999999998</v>
      </c>
      <c r="AA32" s="25">
        <f>Z33/Z32</f>
        <v>0.74176329836186272</v>
      </c>
      <c r="AB32" s="28"/>
      <c r="AC32" s="25">
        <v>7</v>
      </c>
      <c r="AD32" s="25">
        <v>6.2190000000000003</v>
      </c>
      <c r="AE32" s="25">
        <f>AD33/AD32</f>
        <v>0.56648978935520178</v>
      </c>
      <c r="AF32" s="28"/>
      <c r="AG32" s="25">
        <v>7</v>
      </c>
      <c r="AH32" s="25">
        <v>6.35</v>
      </c>
      <c r="AI32" s="25">
        <f>AH33/AH32</f>
        <v>0.84047244094488194</v>
      </c>
      <c r="AJ32" s="28"/>
      <c r="AK32" s="25">
        <v>7</v>
      </c>
      <c r="AL32" s="25">
        <v>10.811</v>
      </c>
      <c r="AM32" s="25">
        <f>AL33/AL32</f>
        <v>0.30783461289427433</v>
      </c>
      <c r="AN32" s="28"/>
      <c r="AO32" s="28"/>
      <c r="AP32" s="28"/>
    </row>
    <row r="33" spans="1:42" s="25" customFormat="1" ht="20.25" customHeight="1" x14ac:dyDescent="0.45">
      <c r="A33" s="26"/>
      <c r="B33" s="25">
        <v>2</v>
      </c>
      <c r="C33" s="25">
        <v>3</v>
      </c>
      <c r="E33" s="28"/>
      <c r="F33" s="25">
        <v>3</v>
      </c>
      <c r="G33" s="25">
        <v>3</v>
      </c>
      <c r="I33" s="28"/>
      <c r="J33" s="25">
        <v>2</v>
      </c>
      <c r="K33" s="25">
        <v>2</v>
      </c>
      <c r="M33" s="25">
        <v>0</v>
      </c>
      <c r="N33" s="25">
        <v>3</v>
      </c>
      <c r="Q33" s="27">
        <v>2</v>
      </c>
      <c r="R33" s="27">
        <v>4</v>
      </c>
      <c r="T33" s="27">
        <v>1</v>
      </c>
      <c r="U33" s="27">
        <v>2</v>
      </c>
      <c r="Y33" s="25">
        <v>8</v>
      </c>
      <c r="Z33" s="25">
        <v>4.03</v>
      </c>
      <c r="AB33" s="28"/>
      <c r="AC33" s="25">
        <v>8</v>
      </c>
      <c r="AD33" s="25">
        <v>3.5230000000000001</v>
      </c>
      <c r="AE33" s="28"/>
      <c r="AF33" s="28"/>
      <c r="AG33" s="25">
        <v>8</v>
      </c>
      <c r="AH33" s="25">
        <v>5.3369999999999997</v>
      </c>
      <c r="AI33" s="28"/>
      <c r="AJ33" s="28"/>
      <c r="AK33" s="25">
        <v>8</v>
      </c>
      <c r="AL33" s="25">
        <v>3.3279999999999998</v>
      </c>
      <c r="AM33" s="28"/>
      <c r="AN33" s="28"/>
      <c r="AO33" s="28"/>
      <c r="AP33" s="28"/>
    </row>
    <row r="34" spans="1:42" s="25" customFormat="1" ht="20.25" customHeight="1" x14ac:dyDescent="0.45">
      <c r="A34" s="30" t="s">
        <v>17</v>
      </c>
      <c r="B34" s="25">
        <f>B24+B25+B26+B27+B28+B29+B31+B30+B32+B33</f>
        <v>28</v>
      </c>
      <c r="C34" s="25">
        <f>C24+C25+C26+C27+C28+C29+C30+C31+C32+C33</f>
        <v>16</v>
      </c>
      <c r="E34" s="28"/>
      <c r="F34" s="25">
        <f>F24+F25+F26+F27+F28+F29+F30+F31+F32+F33</f>
        <v>14</v>
      </c>
      <c r="G34" s="25">
        <f>G24+G25+G26+G27+G28+G29+G30+G31+G32+G33</f>
        <v>31</v>
      </c>
      <c r="I34" s="28"/>
      <c r="J34" s="25">
        <f>J24+J25+J26+J27+J28+J29+J30+J31+J32+J33</f>
        <v>10</v>
      </c>
      <c r="K34" s="25">
        <f>K24+K25+K26+K27+K28+K29+K30+K31+K32+K33</f>
        <v>27</v>
      </c>
      <c r="M34" s="25">
        <f>M24+M25+M26+M27+M28+M29+M30+M31+M32+M33</f>
        <v>8</v>
      </c>
      <c r="N34" s="25">
        <f>N24+N25+N26+N27+N28+N29+N30+N31+N32+N33</f>
        <v>25</v>
      </c>
      <c r="Q34" s="25">
        <f>Q24+Q25+Q26+Q27+Q28+Q29+Q30+Q31+Q32+Q33</f>
        <v>27</v>
      </c>
      <c r="R34" s="25">
        <f>R24+R25+R26+R27+R28+R29+R30+R31+R32+R33</f>
        <v>19</v>
      </c>
      <c r="T34" s="25">
        <f>T24+T25+T26+T27+T28+T29+T30+T31+T32+T33</f>
        <v>15</v>
      </c>
      <c r="U34" s="25">
        <f>U24+U25+U26+U27+U28+U29+U30+U31+U32+U33</f>
        <v>27</v>
      </c>
      <c r="Y34" s="25">
        <v>9</v>
      </c>
      <c r="Z34" s="25">
        <v>7.069</v>
      </c>
      <c r="AA34" s="25">
        <f>Z35/Z34</f>
        <v>0.55396802942424672</v>
      </c>
      <c r="AB34" s="28"/>
      <c r="AC34" s="25">
        <v>9</v>
      </c>
      <c r="AD34" s="25">
        <v>7.3849999999999998</v>
      </c>
      <c r="AE34" s="25">
        <f>AD35/AD34</f>
        <v>0.73811780636425184</v>
      </c>
      <c r="AF34" s="28"/>
      <c r="AG34" s="25">
        <v>9</v>
      </c>
      <c r="AH34" s="25">
        <v>4.6639999999999997</v>
      </c>
      <c r="AI34" s="25">
        <f>AH35/AH34</f>
        <v>0.9011578044596914</v>
      </c>
      <c r="AJ34" s="28"/>
      <c r="AK34" s="25">
        <v>9</v>
      </c>
      <c r="AL34" s="25">
        <v>9.8680000000000003</v>
      </c>
      <c r="AM34" s="25">
        <f>AL35/AL34</f>
        <v>0.35012160518848806</v>
      </c>
      <c r="AN34" s="28"/>
      <c r="AO34" s="28"/>
      <c r="AP34" s="28"/>
    </row>
    <row r="35" spans="1:42" s="25" customFormat="1" ht="20.25" customHeight="1" x14ac:dyDescent="0.45">
      <c r="A35" s="30" t="s">
        <v>10</v>
      </c>
      <c r="B35" s="25" t="s">
        <v>15</v>
      </c>
      <c r="C35" s="25" t="s">
        <v>16</v>
      </c>
      <c r="E35" s="25" t="s">
        <v>8</v>
      </c>
      <c r="F35" s="25" t="s">
        <v>15</v>
      </c>
      <c r="G35" s="25" t="s">
        <v>16</v>
      </c>
      <c r="I35" s="25" t="s">
        <v>10</v>
      </c>
      <c r="J35" s="25" t="s">
        <v>15</v>
      </c>
      <c r="K35" s="25" t="s">
        <v>16</v>
      </c>
      <c r="L35" s="25" t="s">
        <v>8</v>
      </c>
      <c r="M35" s="25" t="s">
        <v>15</v>
      </c>
      <c r="N35" s="25" t="s">
        <v>16</v>
      </c>
      <c r="P35" s="25" t="s">
        <v>10</v>
      </c>
      <c r="Q35" s="25" t="s">
        <v>15</v>
      </c>
      <c r="R35" s="25" t="s">
        <v>16</v>
      </c>
      <c r="S35" s="25" t="s">
        <v>8</v>
      </c>
      <c r="T35" s="25" t="s">
        <v>15</v>
      </c>
      <c r="U35" s="25" t="s">
        <v>16</v>
      </c>
      <c r="Y35" s="25">
        <v>10</v>
      </c>
      <c r="Z35" s="25">
        <v>3.9159999999999999</v>
      </c>
      <c r="AB35" s="28"/>
      <c r="AC35" s="25">
        <v>10</v>
      </c>
      <c r="AD35" s="25">
        <v>5.4509999999999996</v>
      </c>
      <c r="AE35" s="28"/>
      <c r="AF35" s="28"/>
      <c r="AG35" s="25">
        <v>10</v>
      </c>
      <c r="AH35" s="25">
        <v>4.2030000000000003</v>
      </c>
      <c r="AI35" s="28"/>
      <c r="AJ35" s="28"/>
      <c r="AK35" s="25">
        <v>10</v>
      </c>
      <c r="AL35" s="25">
        <v>3.4550000000000001</v>
      </c>
      <c r="AM35" s="28"/>
      <c r="AN35" s="28"/>
      <c r="AO35" s="28">
        <f>TTEST({0.585365853658537,0.263157894736842,0.333333333333333},{2.19354838709677,1.375,1.33333333333333},1,1)</f>
        <v>1.0985654039835353E-2</v>
      </c>
      <c r="AP35" s="28"/>
    </row>
    <row r="36" spans="1:42" s="25" customFormat="1" ht="20.25" customHeight="1" x14ac:dyDescent="0.45">
      <c r="A36" s="30" t="s">
        <v>19</v>
      </c>
      <c r="B36" s="25">
        <v>2</v>
      </c>
      <c r="C36" s="25">
        <v>4</v>
      </c>
      <c r="E36" s="28"/>
      <c r="F36" s="25">
        <v>0</v>
      </c>
      <c r="G36" s="25">
        <v>5</v>
      </c>
      <c r="I36" s="25" t="s">
        <v>20</v>
      </c>
      <c r="J36" s="25">
        <v>2</v>
      </c>
      <c r="K36" s="25">
        <v>3</v>
      </c>
      <c r="M36" s="25">
        <v>0</v>
      </c>
      <c r="N36" s="25">
        <v>2</v>
      </c>
      <c r="P36" s="27" t="s">
        <v>21</v>
      </c>
      <c r="Q36" s="27">
        <v>1</v>
      </c>
      <c r="R36" s="27">
        <v>2</v>
      </c>
      <c r="T36" s="27">
        <v>4</v>
      </c>
      <c r="U36" s="27">
        <v>1</v>
      </c>
      <c r="Y36" s="25">
        <v>11</v>
      </c>
      <c r="Z36" s="25">
        <v>8.7279999999999998</v>
      </c>
      <c r="AA36" s="25">
        <f>Z37/Z36</f>
        <v>0.66636113657195228</v>
      </c>
      <c r="AB36" s="28"/>
      <c r="AC36" s="25">
        <v>11</v>
      </c>
      <c r="AD36" s="25">
        <v>12.779</v>
      </c>
      <c r="AE36" s="25">
        <f>AD37/AD36</f>
        <v>0.38743250645590421</v>
      </c>
      <c r="AF36" s="28"/>
      <c r="AG36" s="25">
        <v>11</v>
      </c>
      <c r="AH36" s="25">
        <v>7.7720000000000002</v>
      </c>
      <c r="AI36" s="25">
        <f>AH37/AH36</f>
        <v>0.34817292846114256</v>
      </c>
      <c r="AJ36" s="28"/>
      <c r="AK36" s="25">
        <v>11</v>
      </c>
      <c r="AL36" s="25">
        <v>5.48</v>
      </c>
      <c r="AM36" s="25">
        <f>AL37/AL36</f>
        <v>0.85711678832116778</v>
      </c>
      <c r="AN36" s="28"/>
      <c r="AO36" s="28"/>
      <c r="AP36" s="28"/>
    </row>
    <row r="37" spans="1:42" s="25" customFormat="1" ht="20.25" customHeight="1" x14ac:dyDescent="0.45">
      <c r="A37" s="26"/>
      <c r="B37" s="25">
        <v>2</v>
      </c>
      <c r="C37" s="25">
        <v>5</v>
      </c>
      <c r="E37" s="28"/>
      <c r="F37" s="25">
        <v>1</v>
      </c>
      <c r="G37" s="25">
        <v>5</v>
      </c>
      <c r="I37" s="28"/>
      <c r="J37" s="25">
        <v>5</v>
      </c>
      <c r="K37" s="25">
        <v>2</v>
      </c>
      <c r="M37" s="25">
        <v>3</v>
      </c>
      <c r="N37" s="25">
        <v>1</v>
      </c>
      <c r="Q37" s="27">
        <v>3</v>
      </c>
      <c r="R37" s="27">
        <v>1</v>
      </c>
      <c r="T37" s="27">
        <v>0</v>
      </c>
      <c r="U37" s="27">
        <v>5</v>
      </c>
      <c r="Y37" s="25">
        <v>12</v>
      </c>
      <c r="Z37" s="25">
        <v>5.8159999999999998</v>
      </c>
      <c r="AB37" s="28"/>
      <c r="AC37" s="25">
        <v>12</v>
      </c>
      <c r="AD37" s="25">
        <v>4.9509999999999996</v>
      </c>
      <c r="AE37" s="28"/>
      <c r="AF37" s="28"/>
      <c r="AG37" s="25">
        <v>12</v>
      </c>
      <c r="AH37" s="25">
        <v>2.706</v>
      </c>
      <c r="AI37" s="28"/>
      <c r="AJ37" s="28"/>
      <c r="AK37" s="25">
        <v>12</v>
      </c>
      <c r="AL37" s="25">
        <v>4.6970000000000001</v>
      </c>
      <c r="AM37" s="28"/>
      <c r="AN37" s="28"/>
      <c r="AO37" s="28"/>
      <c r="AP37" s="28"/>
    </row>
    <row r="38" spans="1:42" s="25" customFormat="1" ht="20.25" customHeight="1" x14ac:dyDescent="0.45">
      <c r="A38" s="26"/>
      <c r="B38" s="25">
        <v>3</v>
      </c>
      <c r="C38" s="25">
        <v>4</v>
      </c>
      <c r="E38" s="28"/>
      <c r="F38" s="25">
        <v>2</v>
      </c>
      <c r="G38" s="25">
        <v>4</v>
      </c>
      <c r="I38" s="28"/>
      <c r="J38" s="25">
        <v>0</v>
      </c>
      <c r="K38" s="25">
        <v>4</v>
      </c>
      <c r="M38" s="25">
        <v>1</v>
      </c>
      <c r="N38" s="25">
        <v>3</v>
      </c>
      <c r="Q38" s="27">
        <v>4</v>
      </c>
      <c r="R38" s="27">
        <v>3</v>
      </c>
      <c r="T38" s="27">
        <v>0</v>
      </c>
      <c r="U38" s="27">
        <v>4</v>
      </c>
      <c r="Y38" s="25">
        <v>13</v>
      </c>
      <c r="Z38" s="25">
        <v>7.9450000000000003</v>
      </c>
      <c r="AA38" s="25">
        <f>Z39/Z38</f>
        <v>0.50459408432976716</v>
      </c>
      <c r="AB38" s="28"/>
      <c r="AC38" s="25">
        <v>13</v>
      </c>
      <c r="AD38" s="25">
        <v>7.8280000000000003</v>
      </c>
      <c r="AE38" s="25">
        <f>AD39/AD38</f>
        <v>0.53500255493101678</v>
      </c>
      <c r="AF38" s="28"/>
      <c r="AG38" s="25">
        <v>13</v>
      </c>
      <c r="AH38" s="25">
        <v>8.2319999999999993</v>
      </c>
      <c r="AI38" s="25">
        <f>AH39/AH38</f>
        <v>0.44897959183673475</v>
      </c>
      <c r="AJ38" s="28"/>
      <c r="AK38" s="25">
        <v>13</v>
      </c>
      <c r="AL38" s="25">
        <v>7.4870000000000001</v>
      </c>
      <c r="AM38" s="25">
        <f>AL39/AL38</f>
        <v>0.4330172298650995</v>
      </c>
      <c r="AN38" s="28"/>
      <c r="AO38" s="28"/>
      <c r="AP38" s="28"/>
    </row>
    <row r="39" spans="1:42" s="25" customFormat="1" ht="20.25" customHeight="1" x14ac:dyDescent="0.45">
      <c r="A39" s="26"/>
      <c r="B39" s="28"/>
      <c r="J39" s="25">
        <v>0</v>
      </c>
      <c r="K39" s="25">
        <v>4</v>
      </c>
      <c r="M39" s="25">
        <v>2</v>
      </c>
      <c r="N39" s="25">
        <v>2</v>
      </c>
      <c r="Q39" s="27">
        <v>3</v>
      </c>
      <c r="R39" s="27">
        <v>1</v>
      </c>
      <c r="T39" s="27">
        <v>1</v>
      </c>
      <c r="U39" s="27">
        <v>3</v>
      </c>
      <c r="Y39" s="25">
        <v>14</v>
      </c>
      <c r="Z39" s="25">
        <v>4.0090000000000003</v>
      </c>
      <c r="AB39" s="28"/>
      <c r="AC39" s="25">
        <v>14</v>
      </c>
      <c r="AD39" s="25">
        <v>4.1879999999999997</v>
      </c>
      <c r="AE39" s="28"/>
      <c r="AF39" s="28"/>
      <c r="AG39" s="25">
        <v>14</v>
      </c>
      <c r="AH39" s="25">
        <v>3.6960000000000002</v>
      </c>
      <c r="AI39" s="28"/>
      <c r="AJ39" s="28"/>
      <c r="AK39" s="25">
        <v>14</v>
      </c>
      <c r="AL39" s="25">
        <v>3.242</v>
      </c>
      <c r="AM39" s="28"/>
      <c r="AN39" s="28"/>
      <c r="AO39" s="28"/>
      <c r="AP39" s="28"/>
    </row>
    <row r="40" spans="1:42" s="25" customFormat="1" ht="20.25" customHeight="1" x14ac:dyDescent="0.45">
      <c r="A40" s="26"/>
      <c r="B40" s="25">
        <v>1</v>
      </c>
      <c r="C40" s="25">
        <v>4</v>
      </c>
      <c r="E40" s="28"/>
      <c r="F40" s="25">
        <v>0</v>
      </c>
      <c r="G40" s="25">
        <v>6</v>
      </c>
      <c r="I40" s="28"/>
      <c r="J40" s="25">
        <v>2</v>
      </c>
      <c r="K40" s="25">
        <v>2</v>
      </c>
      <c r="M40" s="25">
        <v>0</v>
      </c>
      <c r="N40" s="25">
        <v>4</v>
      </c>
      <c r="Q40" s="27">
        <v>0</v>
      </c>
      <c r="R40" s="27">
        <v>2</v>
      </c>
      <c r="T40" s="27">
        <v>1</v>
      </c>
      <c r="U40" s="27">
        <v>2</v>
      </c>
      <c r="Y40" s="25">
        <v>15</v>
      </c>
      <c r="Z40" s="25">
        <v>9.1349999999999998</v>
      </c>
      <c r="AA40" s="25">
        <f>Z41/Z40</f>
        <v>0.4600985221674877</v>
      </c>
      <c r="AB40" s="28"/>
      <c r="AC40" s="25">
        <v>15</v>
      </c>
      <c r="AD40" s="25">
        <v>11.548</v>
      </c>
      <c r="AE40" s="25">
        <f>AD41/AD40</f>
        <v>0.47566678212677521</v>
      </c>
      <c r="AF40" s="28"/>
      <c r="AG40" s="25">
        <v>15</v>
      </c>
      <c r="AH40" s="25">
        <v>3.9660000000000002</v>
      </c>
      <c r="AI40" s="25">
        <f>AH40/AH41</f>
        <v>0.93670288143599434</v>
      </c>
      <c r="AJ40" s="28"/>
      <c r="AK40" s="25">
        <v>15</v>
      </c>
      <c r="AL40" s="25">
        <v>9.0120000000000005</v>
      </c>
      <c r="AM40" s="25">
        <f>AL41/AL40</f>
        <v>0.43031513537505545</v>
      </c>
      <c r="AN40" s="28"/>
      <c r="AO40" s="28"/>
      <c r="AP40" s="28"/>
    </row>
    <row r="41" spans="1:42" s="25" customFormat="1" ht="20.25" customHeight="1" x14ac:dyDescent="0.45">
      <c r="A41" s="26"/>
      <c r="B41" s="25">
        <v>3</v>
      </c>
      <c r="C41" s="25">
        <v>2</v>
      </c>
      <c r="E41" s="28"/>
      <c r="F41" s="25">
        <v>1</v>
      </c>
      <c r="G41" s="25">
        <v>3</v>
      </c>
      <c r="J41" s="25">
        <v>1</v>
      </c>
      <c r="K41" s="25">
        <v>3</v>
      </c>
      <c r="M41" s="25">
        <v>1</v>
      </c>
      <c r="N41" s="25">
        <v>3</v>
      </c>
      <c r="Q41" s="27">
        <v>1</v>
      </c>
      <c r="R41" s="27">
        <v>4</v>
      </c>
      <c r="T41" s="27">
        <v>0</v>
      </c>
      <c r="U41" s="27">
        <v>3</v>
      </c>
      <c r="Y41" s="25">
        <v>16</v>
      </c>
      <c r="Z41" s="25">
        <v>4.2030000000000003</v>
      </c>
      <c r="AB41" s="28"/>
      <c r="AC41" s="25">
        <v>16</v>
      </c>
      <c r="AD41" s="25">
        <v>5.4930000000000003</v>
      </c>
      <c r="AE41" s="28"/>
      <c r="AF41" s="28"/>
      <c r="AG41" s="25">
        <v>16</v>
      </c>
      <c r="AH41" s="25">
        <v>4.234</v>
      </c>
      <c r="AI41" s="28"/>
      <c r="AJ41" s="28"/>
      <c r="AK41" s="25">
        <v>16</v>
      </c>
      <c r="AL41" s="25">
        <v>3.8780000000000001</v>
      </c>
      <c r="AM41" s="28"/>
      <c r="AN41" s="28"/>
      <c r="AO41" s="28"/>
      <c r="AP41" s="28"/>
    </row>
    <row r="42" spans="1:42" s="25" customFormat="1" ht="20.25" customHeight="1" x14ac:dyDescent="0.45">
      <c r="A42" s="26"/>
      <c r="B42" s="25">
        <v>3</v>
      </c>
      <c r="C42" s="25">
        <v>3</v>
      </c>
      <c r="E42" s="28"/>
      <c r="F42" s="25">
        <v>0</v>
      </c>
      <c r="G42" s="25">
        <v>3</v>
      </c>
      <c r="J42" s="25">
        <v>2</v>
      </c>
      <c r="K42" s="25">
        <v>2</v>
      </c>
      <c r="M42" s="25">
        <v>1</v>
      </c>
      <c r="N42" s="25">
        <v>1</v>
      </c>
      <c r="Q42" s="27">
        <v>4</v>
      </c>
      <c r="R42" s="27">
        <v>1</v>
      </c>
      <c r="T42" s="27">
        <v>2</v>
      </c>
      <c r="U42" s="27">
        <v>3</v>
      </c>
      <c r="Y42" s="25">
        <v>17</v>
      </c>
      <c r="Z42" s="25">
        <v>10.211</v>
      </c>
      <c r="AA42" s="25">
        <f>Z43/Z42</f>
        <v>0.39104886886690821</v>
      </c>
      <c r="AB42" s="28"/>
      <c r="AC42" s="25">
        <v>17</v>
      </c>
      <c r="AD42" s="25">
        <v>7.6349999999999998</v>
      </c>
      <c r="AE42" s="25">
        <f>AD43/AD42</f>
        <v>0.59004584151931894</v>
      </c>
      <c r="AF42" s="28"/>
      <c r="AG42" s="25">
        <v>17</v>
      </c>
      <c r="AH42" s="25">
        <v>3.5289999999999999</v>
      </c>
      <c r="AI42" s="25">
        <f>AH42/AH43</f>
        <v>0.59340844123087266</v>
      </c>
      <c r="AJ42" s="28"/>
      <c r="AK42" s="25">
        <v>17</v>
      </c>
      <c r="AL42" s="25">
        <v>6.282</v>
      </c>
      <c r="AM42" s="25">
        <f>AL43/AL42</f>
        <v>0.62782553326965929</v>
      </c>
      <c r="AN42" s="28"/>
      <c r="AO42" s="28"/>
      <c r="AP42" s="28"/>
    </row>
    <row r="43" spans="1:42" s="25" customFormat="1" ht="20.25" customHeight="1" x14ac:dyDescent="0.45">
      <c r="A43" s="26"/>
      <c r="B43" s="25">
        <v>2</v>
      </c>
      <c r="C43" s="25">
        <v>3</v>
      </c>
      <c r="E43" s="28"/>
      <c r="F43" s="25">
        <v>1</v>
      </c>
      <c r="G43" s="25">
        <v>5</v>
      </c>
      <c r="J43" s="25">
        <v>2</v>
      </c>
      <c r="K43" s="25">
        <v>5</v>
      </c>
      <c r="M43" s="25">
        <v>0</v>
      </c>
      <c r="N43" s="25">
        <v>4</v>
      </c>
      <c r="Q43" s="27">
        <v>3</v>
      </c>
      <c r="R43" s="27">
        <v>1</v>
      </c>
      <c r="T43" s="27">
        <v>2</v>
      </c>
      <c r="U43" s="27">
        <v>4</v>
      </c>
      <c r="Y43" s="25">
        <v>18</v>
      </c>
      <c r="Z43" s="25">
        <v>3.9929999999999999</v>
      </c>
      <c r="AC43" s="25">
        <v>18</v>
      </c>
      <c r="AD43" s="25">
        <v>4.5049999999999999</v>
      </c>
      <c r="AE43" s="28"/>
      <c r="AF43" s="28"/>
      <c r="AG43" s="25">
        <v>18</v>
      </c>
      <c r="AH43" s="25">
        <v>5.9470000000000001</v>
      </c>
      <c r="AI43" s="28"/>
      <c r="AJ43" s="28"/>
      <c r="AK43" s="25">
        <v>18</v>
      </c>
      <c r="AL43" s="25">
        <v>3.944</v>
      </c>
      <c r="AM43" s="28"/>
      <c r="AN43" s="28"/>
      <c r="AO43" s="28"/>
      <c r="AP43" s="28"/>
    </row>
    <row r="44" spans="1:42" s="25" customFormat="1" ht="20.25" customHeight="1" x14ac:dyDescent="0.45">
      <c r="A44" s="26"/>
      <c r="B44" s="25">
        <v>2</v>
      </c>
      <c r="C44" s="25">
        <v>3</v>
      </c>
      <c r="E44" s="28"/>
      <c r="F44" s="25">
        <v>2</v>
      </c>
      <c r="G44" s="25">
        <v>2</v>
      </c>
      <c r="J44" s="25">
        <v>3</v>
      </c>
      <c r="K44" s="25">
        <v>1</v>
      </c>
      <c r="M44" s="25">
        <v>2</v>
      </c>
      <c r="N44" s="25">
        <v>4</v>
      </c>
      <c r="Q44" s="27">
        <v>1</v>
      </c>
      <c r="R44" s="27">
        <v>1</v>
      </c>
      <c r="T44" s="27">
        <v>1</v>
      </c>
      <c r="U44" s="27">
        <v>2</v>
      </c>
      <c r="Y44" s="25">
        <v>19</v>
      </c>
      <c r="Z44" s="25">
        <v>9.2170000000000005</v>
      </c>
      <c r="AA44" s="25">
        <f>Z45/Z44</f>
        <v>0.66236302484539444</v>
      </c>
      <c r="AC44" s="25">
        <v>19</v>
      </c>
      <c r="AD44" s="25">
        <v>6.0949999999999998</v>
      </c>
      <c r="AE44" s="25">
        <f>AD45/AD44</f>
        <v>0.54684167350287127</v>
      </c>
      <c r="AF44" s="28"/>
      <c r="AG44" s="25">
        <v>19</v>
      </c>
      <c r="AH44" s="25">
        <v>3.7589999999999999</v>
      </c>
      <c r="AI44" s="25">
        <f>AH44/AH45</f>
        <v>0.57671064743786438</v>
      </c>
      <c r="AJ44" s="28"/>
      <c r="AK44" s="25">
        <v>19</v>
      </c>
      <c r="AL44" s="25">
        <v>4.9210000000000003</v>
      </c>
      <c r="AM44" s="25">
        <f>AL45/AL44</f>
        <v>0.9337533021743547</v>
      </c>
      <c r="AN44" s="28"/>
      <c r="AO44" s="28"/>
      <c r="AP44" s="28"/>
    </row>
    <row r="45" spans="1:42" s="25" customFormat="1" ht="20.25" customHeight="1" x14ac:dyDescent="0.45">
      <c r="A45" s="26"/>
      <c r="B45" s="25">
        <v>5</v>
      </c>
      <c r="C45" s="25">
        <v>1</v>
      </c>
      <c r="E45" s="28"/>
      <c r="F45" s="25">
        <v>1</v>
      </c>
      <c r="G45" s="25">
        <v>4</v>
      </c>
      <c r="J45" s="25">
        <v>5</v>
      </c>
      <c r="K45" s="25">
        <v>1</v>
      </c>
      <c r="M45" s="25">
        <v>3</v>
      </c>
      <c r="N45" s="25">
        <v>1</v>
      </c>
      <c r="Q45" s="27">
        <v>1</v>
      </c>
      <c r="R45" s="27">
        <v>2</v>
      </c>
      <c r="T45" s="27">
        <v>1</v>
      </c>
      <c r="U45" s="27">
        <v>3</v>
      </c>
      <c r="Y45" s="25">
        <v>20</v>
      </c>
      <c r="Z45" s="25">
        <v>6.1050000000000004</v>
      </c>
      <c r="AC45" s="25">
        <v>20</v>
      </c>
      <c r="AD45" s="25">
        <v>3.3330000000000002</v>
      </c>
      <c r="AE45" s="28"/>
      <c r="AF45" s="28"/>
      <c r="AG45" s="25">
        <v>20</v>
      </c>
      <c r="AH45" s="25">
        <v>6.5179999999999998</v>
      </c>
      <c r="AI45" s="28"/>
      <c r="AJ45" s="28"/>
      <c r="AK45" s="25">
        <v>20</v>
      </c>
      <c r="AL45" s="25">
        <v>4.5949999999999998</v>
      </c>
      <c r="AM45" s="28"/>
      <c r="AN45" s="28"/>
      <c r="AO45" s="28"/>
      <c r="AP45" s="28"/>
    </row>
    <row r="46" spans="1:42" s="25" customFormat="1" ht="20.25" customHeight="1" x14ac:dyDescent="0.45">
      <c r="A46" s="26"/>
      <c r="B46" s="25">
        <v>3</v>
      </c>
      <c r="C46" s="25">
        <v>2</v>
      </c>
      <c r="E46" s="28"/>
      <c r="F46" s="25">
        <v>0</v>
      </c>
      <c r="G46" s="25">
        <v>6</v>
      </c>
      <c r="J46" s="25">
        <f>J36+J37+J38+J39+J40+J41+J42+J43+J44+J45</f>
        <v>22</v>
      </c>
      <c r="K46" s="25">
        <f>K36+K37+K38+K39+K40+K41+K42+K43+K44+K45</f>
        <v>27</v>
      </c>
      <c r="M46" s="25">
        <f>M36+M37+M38+M39+M40+M41+M42+M43+M44+M45</f>
        <v>13</v>
      </c>
      <c r="N46" s="25">
        <f>N36+N37+N38+N39+N40+N41+N42+N43+N44+N45</f>
        <v>25</v>
      </c>
      <c r="Q46" s="25">
        <f>Q36+Q37+Q38+Q39+Q40+Q41+Q42+Q43+Q44+Q45</f>
        <v>21</v>
      </c>
      <c r="R46" s="25">
        <f>R36+R37+R38+R39+R40+R41+R42+R43+R44+R45</f>
        <v>18</v>
      </c>
      <c r="T46" s="25">
        <f>T36+T37+T38+T39+T40+T41+T42+T43+T44+T45</f>
        <v>12</v>
      </c>
      <c r="U46" s="25">
        <f>U36+U37+U38+U39+U40+U41+U42+U43+U44+U45</f>
        <v>30</v>
      </c>
      <c r="V46" s="28"/>
      <c r="W46" s="28"/>
      <c r="X46" s="28"/>
      <c r="Y46" s="25" t="s">
        <v>17</v>
      </c>
      <c r="AA46" s="25">
        <f>SUM(AA26:AA45)</f>
        <v>5.8623156568163832</v>
      </c>
      <c r="AE46" s="25">
        <f>SUM(AE26:AE45)</f>
        <v>5.0489162703921293</v>
      </c>
      <c r="AI46" s="25">
        <f>SUM(AI26:AI45)</f>
        <v>6.649217343742083</v>
      </c>
      <c r="AM46" s="25">
        <f>SUM(AM26:AM45)</f>
        <v>4.9252254352058777</v>
      </c>
    </row>
    <row r="47" spans="1:42" s="25" customFormat="1" ht="20.25" customHeight="1" x14ac:dyDescent="0.45">
      <c r="A47" s="30" t="s">
        <v>17</v>
      </c>
      <c r="B47" s="25">
        <f>B36+B37+B37+B38+B40+B41+B42+B43+B44+B45+B46</f>
        <v>28</v>
      </c>
      <c r="C47" s="25">
        <f>C36+C37+C38+C40+C41+C43+C42+C44+C45+C46</f>
        <v>31</v>
      </c>
      <c r="E47" s="28"/>
      <c r="F47" s="25">
        <f>F36+F37+F38+F40+F41+F42+F43+F44+F45+F46</f>
        <v>8</v>
      </c>
      <c r="G47" s="25">
        <f>G36+G37+G38+G40+G41+G42+G43+G44+G45+G46</f>
        <v>43</v>
      </c>
      <c r="I47" s="25" t="s">
        <v>10</v>
      </c>
      <c r="J47" s="25" t="s">
        <v>15</v>
      </c>
      <c r="K47" s="25" t="s">
        <v>16</v>
      </c>
      <c r="L47" s="25" t="s">
        <v>8</v>
      </c>
      <c r="M47" s="25" t="s">
        <v>15</v>
      </c>
      <c r="N47" s="25" t="s">
        <v>16</v>
      </c>
      <c r="P47" s="25" t="s">
        <v>10</v>
      </c>
      <c r="Q47" s="25" t="s">
        <v>15</v>
      </c>
      <c r="R47" s="25" t="s">
        <v>16</v>
      </c>
      <c r="S47" s="25" t="s">
        <v>8</v>
      </c>
      <c r="T47" s="25" t="s">
        <v>15</v>
      </c>
      <c r="U47" s="25" t="s">
        <v>16</v>
      </c>
      <c r="AG47" s="25" t="s">
        <v>22</v>
      </c>
    </row>
    <row r="48" spans="1:42" s="25" customFormat="1" ht="20.25" customHeight="1" x14ac:dyDescent="0.45">
      <c r="A48" s="30" t="s">
        <v>10</v>
      </c>
      <c r="B48" s="25" t="s">
        <v>15</v>
      </c>
      <c r="C48" s="25" t="s">
        <v>16</v>
      </c>
      <c r="E48" s="25" t="s">
        <v>8</v>
      </c>
      <c r="F48" s="25" t="s">
        <v>15</v>
      </c>
      <c r="G48" s="25" t="s">
        <v>16</v>
      </c>
      <c r="I48" s="25" t="s">
        <v>22</v>
      </c>
      <c r="J48" s="25">
        <v>2</v>
      </c>
      <c r="K48" s="25">
        <v>1</v>
      </c>
      <c r="M48" s="25">
        <v>1</v>
      </c>
      <c r="N48" s="25">
        <v>4</v>
      </c>
      <c r="P48" s="27" t="s">
        <v>23</v>
      </c>
      <c r="Q48" s="27">
        <v>3</v>
      </c>
      <c r="R48" s="27">
        <v>0</v>
      </c>
      <c r="Y48" s="25" t="s">
        <v>24</v>
      </c>
      <c r="AG48" s="25">
        <v>1</v>
      </c>
      <c r="AH48" s="25">
        <v>9.9649999999999999</v>
      </c>
      <c r="AI48" s="25">
        <f>AH49/AH48</f>
        <v>0.37491219267436027</v>
      </c>
      <c r="AJ48" s="28"/>
      <c r="AK48" s="25">
        <v>1</v>
      </c>
      <c r="AL48" s="25">
        <v>10.069000000000001</v>
      </c>
      <c r="AM48" s="25">
        <f>AL49/AL48</f>
        <v>0.34551594001390407</v>
      </c>
      <c r="AN48" s="28"/>
      <c r="AO48" s="28"/>
      <c r="AP48" s="28"/>
    </row>
    <row r="49" spans="1:42" s="25" customFormat="1" ht="20.25" customHeight="1" x14ac:dyDescent="0.45">
      <c r="A49" s="30" t="s">
        <v>24</v>
      </c>
      <c r="B49" s="25">
        <v>3</v>
      </c>
      <c r="C49" s="25">
        <v>1</v>
      </c>
      <c r="E49" s="28"/>
      <c r="F49" s="25">
        <v>3</v>
      </c>
      <c r="G49" s="25">
        <v>1</v>
      </c>
      <c r="J49" s="25">
        <v>3</v>
      </c>
      <c r="K49" s="25">
        <v>1</v>
      </c>
      <c r="M49" s="25">
        <v>2</v>
      </c>
      <c r="N49" s="25">
        <v>2</v>
      </c>
      <c r="Q49" s="27">
        <v>2</v>
      </c>
      <c r="R49" s="27">
        <v>2</v>
      </c>
      <c r="T49" s="27">
        <v>2</v>
      </c>
      <c r="U49" s="27">
        <v>2</v>
      </c>
      <c r="Y49" s="25">
        <v>1</v>
      </c>
      <c r="Z49" s="25">
        <v>5.7409999999999997</v>
      </c>
      <c r="AA49" s="25">
        <f>Z50/Z49</f>
        <v>0.80282180804737857</v>
      </c>
      <c r="AB49" s="28"/>
      <c r="AC49" s="25">
        <v>1</v>
      </c>
      <c r="AD49" s="25">
        <v>6.6230000000000002</v>
      </c>
      <c r="AE49" s="25">
        <f>AD50/AD49</f>
        <v>0.47833308168503702</v>
      </c>
      <c r="AF49" s="28"/>
      <c r="AG49" s="25">
        <v>2</v>
      </c>
      <c r="AH49" s="25">
        <v>3.7360000000000002</v>
      </c>
      <c r="AI49" s="28"/>
      <c r="AJ49" s="28"/>
      <c r="AK49" s="25">
        <v>2</v>
      </c>
      <c r="AL49" s="25">
        <v>3.4790000000000001</v>
      </c>
      <c r="AM49" s="28"/>
      <c r="AN49" s="28"/>
      <c r="AO49" s="28"/>
      <c r="AP49" s="28"/>
    </row>
    <row r="50" spans="1:42" s="25" customFormat="1" ht="20.25" customHeight="1" x14ac:dyDescent="0.45">
      <c r="A50" s="26"/>
      <c r="B50" s="25">
        <v>3</v>
      </c>
      <c r="C50" s="25">
        <v>2</v>
      </c>
      <c r="E50" s="28"/>
      <c r="F50" s="25">
        <v>1</v>
      </c>
      <c r="G50" s="25">
        <v>2</v>
      </c>
      <c r="J50" s="25">
        <v>2</v>
      </c>
      <c r="K50" s="25">
        <v>2</v>
      </c>
      <c r="M50" s="25">
        <v>1</v>
      </c>
      <c r="N50" s="25">
        <v>3</v>
      </c>
      <c r="Q50" s="27">
        <v>2</v>
      </c>
      <c r="R50" s="27">
        <v>3</v>
      </c>
      <c r="T50" s="27">
        <v>3</v>
      </c>
      <c r="U50" s="27">
        <v>1</v>
      </c>
      <c r="Y50" s="25">
        <v>2</v>
      </c>
      <c r="Z50" s="25">
        <v>4.609</v>
      </c>
      <c r="AA50" s="28"/>
      <c r="AB50" s="28"/>
      <c r="AC50" s="25">
        <v>2</v>
      </c>
      <c r="AD50" s="25">
        <v>3.1680000000000001</v>
      </c>
      <c r="AE50" s="28"/>
      <c r="AF50" s="28"/>
      <c r="AG50" s="25">
        <v>3</v>
      </c>
      <c r="AH50" s="25">
        <v>6.6189999999999998</v>
      </c>
      <c r="AI50" s="25">
        <f>AH51/AH50</f>
        <v>0.52198217253361534</v>
      </c>
      <c r="AJ50" s="28"/>
      <c r="AK50" s="25">
        <v>3</v>
      </c>
      <c r="AL50" s="25">
        <v>10.795</v>
      </c>
      <c r="AM50" s="25">
        <f>AL51/AL50</f>
        <v>0.43205187586845761</v>
      </c>
      <c r="AN50" s="28"/>
      <c r="AO50" s="28"/>
      <c r="AP50" s="28"/>
    </row>
    <row r="51" spans="1:42" s="25" customFormat="1" ht="20.25" customHeight="1" x14ac:dyDescent="0.45">
      <c r="A51" s="26"/>
      <c r="B51" s="25">
        <v>3</v>
      </c>
      <c r="C51" s="25">
        <v>1</v>
      </c>
      <c r="E51" s="28"/>
      <c r="F51" s="25">
        <v>1</v>
      </c>
      <c r="G51" s="25">
        <v>4</v>
      </c>
      <c r="J51" s="25">
        <v>3</v>
      </c>
      <c r="K51" s="25">
        <v>0</v>
      </c>
      <c r="M51" s="25">
        <v>1</v>
      </c>
      <c r="N51" s="25">
        <v>3</v>
      </c>
      <c r="Q51" s="27">
        <v>2</v>
      </c>
      <c r="R51" s="27">
        <v>1</v>
      </c>
      <c r="T51" s="27">
        <v>0</v>
      </c>
      <c r="U51" s="27">
        <v>3</v>
      </c>
      <c r="Y51" s="25">
        <v>3</v>
      </c>
      <c r="Z51" s="25">
        <v>6.0519999999999996</v>
      </c>
      <c r="AA51" s="25">
        <f>Z52/Z51</f>
        <v>0.73876404494382031</v>
      </c>
      <c r="AB51" s="28"/>
      <c r="AC51" s="25">
        <v>3</v>
      </c>
      <c r="AD51" s="25">
        <v>9.5950000000000006</v>
      </c>
      <c r="AE51" s="25">
        <f>AD52/AD51</f>
        <v>0.42001042209484107</v>
      </c>
      <c r="AF51" s="28"/>
      <c r="AG51" s="25">
        <v>4</v>
      </c>
      <c r="AH51" s="25">
        <v>3.4550000000000001</v>
      </c>
      <c r="AI51" s="28"/>
      <c r="AJ51" s="28"/>
      <c r="AK51" s="25">
        <v>4</v>
      </c>
      <c r="AL51" s="25">
        <v>4.6639999999999997</v>
      </c>
      <c r="AM51" s="28"/>
      <c r="AN51" s="28"/>
      <c r="AO51" s="28"/>
      <c r="AP51" s="28"/>
    </row>
    <row r="52" spans="1:42" s="25" customFormat="1" ht="20.25" customHeight="1" x14ac:dyDescent="0.45">
      <c r="A52" s="26"/>
      <c r="B52" s="25">
        <v>3</v>
      </c>
      <c r="C52" s="25">
        <v>2</v>
      </c>
      <c r="E52" s="28"/>
      <c r="F52" s="25">
        <v>5</v>
      </c>
      <c r="G52" s="25">
        <v>1</v>
      </c>
      <c r="J52" s="25">
        <v>2</v>
      </c>
      <c r="K52" s="25">
        <v>1</v>
      </c>
      <c r="M52" s="25">
        <v>1</v>
      </c>
      <c r="N52" s="25">
        <v>2</v>
      </c>
      <c r="Q52" s="27">
        <v>2</v>
      </c>
      <c r="R52" s="27">
        <v>2</v>
      </c>
      <c r="T52" s="27">
        <v>2</v>
      </c>
      <c r="U52" s="27">
        <v>3</v>
      </c>
      <c r="Y52" s="25">
        <v>4</v>
      </c>
      <c r="Z52" s="25">
        <v>4.4710000000000001</v>
      </c>
      <c r="AA52" s="28"/>
      <c r="AB52" s="28"/>
      <c r="AC52" s="25">
        <v>4</v>
      </c>
      <c r="AD52" s="25">
        <v>4.03</v>
      </c>
      <c r="AE52" s="28"/>
      <c r="AF52" s="28"/>
      <c r="AG52" s="25">
        <v>5</v>
      </c>
      <c r="AH52" s="25">
        <v>4.9820000000000002</v>
      </c>
      <c r="AI52" s="25">
        <f>AH53/AH52</f>
        <v>0.87896427137695687</v>
      </c>
      <c r="AJ52" s="28"/>
      <c r="AK52" s="25">
        <v>5</v>
      </c>
      <c r="AL52" s="25">
        <v>9.1050000000000004</v>
      </c>
      <c r="AM52" s="25">
        <f>AL53/AL52</f>
        <v>0.40395387149917628</v>
      </c>
      <c r="AN52" s="28"/>
      <c r="AO52" s="28"/>
      <c r="AP52" s="28"/>
    </row>
    <row r="53" spans="1:42" s="25" customFormat="1" ht="20.25" customHeight="1" x14ac:dyDescent="0.45">
      <c r="A53" s="26"/>
      <c r="B53" s="25">
        <v>5</v>
      </c>
      <c r="C53" s="25">
        <v>1</v>
      </c>
      <c r="E53" s="28"/>
      <c r="F53" s="25">
        <v>3</v>
      </c>
      <c r="G53" s="25">
        <v>0</v>
      </c>
      <c r="J53" s="25">
        <v>3</v>
      </c>
      <c r="K53" s="25">
        <v>0</v>
      </c>
      <c r="M53" s="25">
        <v>0</v>
      </c>
      <c r="N53" s="25">
        <v>3</v>
      </c>
      <c r="Q53" s="27">
        <v>3</v>
      </c>
      <c r="R53" s="27">
        <v>0</v>
      </c>
      <c r="T53" s="27">
        <v>1</v>
      </c>
      <c r="U53" s="27">
        <v>3</v>
      </c>
      <c r="Y53" s="25">
        <v>5</v>
      </c>
      <c r="Z53" s="25">
        <v>7.5209999999999999</v>
      </c>
      <c r="AA53" s="25">
        <f>Z54/Z53</f>
        <v>0.76678633160483989</v>
      </c>
      <c r="AB53" s="28"/>
      <c r="AC53" s="25">
        <v>5</v>
      </c>
      <c r="AD53" s="25">
        <v>5.202</v>
      </c>
      <c r="AE53" s="25">
        <f>AD54/AD53</f>
        <v>0.71376393694732798</v>
      </c>
      <c r="AF53" s="28"/>
      <c r="AG53" s="25">
        <v>6</v>
      </c>
      <c r="AH53" s="25">
        <v>4.3789999999999996</v>
      </c>
      <c r="AI53" s="28"/>
      <c r="AJ53" s="28"/>
      <c r="AK53" s="25">
        <v>6</v>
      </c>
      <c r="AL53" s="25">
        <v>3.6779999999999999</v>
      </c>
      <c r="AM53" s="28"/>
      <c r="AN53" s="28"/>
      <c r="AO53" s="28"/>
      <c r="AP53" s="28"/>
    </row>
    <row r="54" spans="1:42" s="25" customFormat="1" ht="20.25" customHeight="1" x14ac:dyDescent="0.45">
      <c r="A54" s="26"/>
      <c r="B54" s="25">
        <v>1</v>
      </c>
      <c r="C54" s="25">
        <v>3</v>
      </c>
      <c r="E54" s="28"/>
      <c r="F54" s="25">
        <v>2</v>
      </c>
      <c r="G54" s="25">
        <v>2</v>
      </c>
      <c r="J54" s="25">
        <v>5</v>
      </c>
      <c r="K54" s="25">
        <v>0</v>
      </c>
      <c r="M54" s="25">
        <v>1</v>
      </c>
      <c r="N54" s="25">
        <v>2</v>
      </c>
      <c r="Q54" s="27">
        <v>4</v>
      </c>
      <c r="R54" s="27">
        <v>0</v>
      </c>
      <c r="T54" s="27">
        <v>0</v>
      </c>
      <c r="U54" s="27">
        <v>4</v>
      </c>
      <c r="Y54" s="25">
        <v>6</v>
      </c>
      <c r="Z54" s="25">
        <v>5.7670000000000003</v>
      </c>
      <c r="AA54" s="28"/>
      <c r="AB54" s="28"/>
      <c r="AC54" s="25">
        <v>6</v>
      </c>
      <c r="AD54" s="25">
        <v>3.7130000000000001</v>
      </c>
      <c r="AE54" s="28"/>
      <c r="AF54" s="28"/>
      <c r="AG54" s="25">
        <v>7</v>
      </c>
      <c r="AH54" s="25">
        <v>7.4749999999999996</v>
      </c>
      <c r="AI54" s="25">
        <f>AH55/AH54</f>
        <v>0.83344481605351184</v>
      </c>
      <c r="AJ54" s="28"/>
      <c r="AK54" s="25">
        <v>7</v>
      </c>
      <c r="AL54" s="25">
        <v>10.019</v>
      </c>
      <c r="AM54" s="25">
        <f>AL55/AL54</f>
        <v>0.39854276873939515</v>
      </c>
      <c r="AN54" s="28"/>
      <c r="AO54" s="28"/>
      <c r="AP54" s="28"/>
    </row>
    <row r="55" spans="1:42" s="25" customFormat="1" ht="20.25" customHeight="1" x14ac:dyDescent="0.45">
      <c r="A55" s="26"/>
      <c r="B55" s="25">
        <v>2</v>
      </c>
      <c r="C55" s="25">
        <v>2</v>
      </c>
      <c r="E55" s="28"/>
      <c r="F55" s="25">
        <v>2</v>
      </c>
      <c r="G55" s="25">
        <v>3</v>
      </c>
      <c r="J55" s="25">
        <v>2</v>
      </c>
      <c r="K55" s="25">
        <v>3</v>
      </c>
      <c r="M55" s="25">
        <v>1</v>
      </c>
      <c r="N55" s="25">
        <v>3</v>
      </c>
      <c r="Q55" s="27">
        <v>1</v>
      </c>
      <c r="R55" s="27">
        <v>3</v>
      </c>
      <c r="T55" s="27">
        <v>2</v>
      </c>
      <c r="U55" s="27">
        <v>3</v>
      </c>
      <c r="Y55" s="25">
        <v>7</v>
      </c>
      <c r="Z55" s="25">
        <v>3.9870000000000001</v>
      </c>
      <c r="AA55" s="25">
        <f>Z55/Z56</f>
        <v>0.95565675934803462</v>
      </c>
      <c r="AB55" s="28"/>
      <c r="AC55" s="25">
        <v>7</v>
      </c>
      <c r="AD55" s="25">
        <v>7.0570000000000004</v>
      </c>
      <c r="AE55" s="25">
        <f>AD56/AD55</f>
        <v>0.80274904350290488</v>
      </c>
      <c r="AF55" s="28"/>
      <c r="AG55" s="25">
        <v>8</v>
      </c>
      <c r="AH55" s="25">
        <v>6.23</v>
      </c>
      <c r="AI55" s="28"/>
      <c r="AJ55" s="28"/>
      <c r="AK55" s="25">
        <v>8</v>
      </c>
      <c r="AL55" s="25">
        <v>3.9929999999999999</v>
      </c>
      <c r="AM55" s="28"/>
      <c r="AN55" s="28"/>
      <c r="AO55" s="28"/>
      <c r="AP55" s="28"/>
    </row>
    <row r="56" spans="1:42" s="25" customFormat="1" ht="20.25" customHeight="1" x14ac:dyDescent="0.45">
      <c r="A56" s="26"/>
      <c r="B56" s="25">
        <v>4</v>
      </c>
      <c r="C56" s="25">
        <v>2</v>
      </c>
      <c r="E56" s="28"/>
      <c r="F56" s="25">
        <v>0</v>
      </c>
      <c r="G56" s="25">
        <v>4</v>
      </c>
      <c r="J56" s="25">
        <v>3</v>
      </c>
      <c r="K56" s="25">
        <v>2</v>
      </c>
      <c r="M56" s="25">
        <v>2</v>
      </c>
      <c r="N56" s="25">
        <v>3</v>
      </c>
      <c r="Q56" s="27">
        <v>1</v>
      </c>
      <c r="R56" s="27">
        <v>3</v>
      </c>
      <c r="T56" s="27">
        <v>1</v>
      </c>
      <c r="U56" s="27">
        <v>5</v>
      </c>
      <c r="Y56" s="25">
        <v>8</v>
      </c>
      <c r="Z56" s="25">
        <v>4.1719999999999997</v>
      </c>
      <c r="AA56" s="28"/>
      <c r="AB56" s="28"/>
      <c r="AC56" s="25">
        <v>8</v>
      </c>
      <c r="AD56" s="25">
        <v>5.665</v>
      </c>
      <c r="AE56" s="28"/>
      <c r="AF56" s="28"/>
      <c r="AG56" s="25">
        <v>9</v>
      </c>
      <c r="AH56" s="25">
        <v>6.9279999999999999</v>
      </c>
      <c r="AI56" s="25">
        <f>AH57/AH56</f>
        <v>0.76385681293302543</v>
      </c>
      <c r="AJ56" s="28"/>
      <c r="AK56" s="25">
        <v>9</v>
      </c>
      <c r="AL56" s="25">
        <v>7.5209999999999999</v>
      </c>
      <c r="AM56" s="25">
        <f>AL57/AL56</f>
        <v>0.48278154500731285</v>
      </c>
      <c r="AN56" s="28"/>
      <c r="AO56" s="28"/>
      <c r="AP56" s="28"/>
    </row>
    <row r="57" spans="1:42" s="25" customFormat="1" ht="20.25" customHeight="1" x14ac:dyDescent="0.45">
      <c r="A57" s="26"/>
      <c r="B57" s="25">
        <v>2</v>
      </c>
      <c r="C57" s="25">
        <v>1</v>
      </c>
      <c r="E57" s="28"/>
      <c r="F57" s="25">
        <v>3</v>
      </c>
      <c r="G57" s="25">
        <v>0</v>
      </c>
      <c r="J57" s="25">
        <v>1</v>
      </c>
      <c r="K57" s="25">
        <v>4</v>
      </c>
      <c r="M57" s="25">
        <v>0</v>
      </c>
      <c r="N57" s="25">
        <v>3</v>
      </c>
      <c r="Q57" s="27">
        <v>1</v>
      </c>
      <c r="R57" s="27">
        <v>2</v>
      </c>
      <c r="T57" s="27">
        <v>1</v>
      </c>
      <c r="U57" s="27">
        <v>2</v>
      </c>
      <c r="Y57" s="25">
        <v>9</v>
      </c>
      <c r="Z57" s="25">
        <v>6.4109999999999996</v>
      </c>
      <c r="AA57" s="25">
        <f>Z58/Z57</f>
        <v>0.7003587583840275</v>
      </c>
      <c r="AB57" s="28"/>
      <c r="AC57" s="25">
        <v>9</v>
      </c>
      <c r="AD57" s="25">
        <v>5.827</v>
      </c>
      <c r="AE57" s="25">
        <f>AD58/AD57</f>
        <v>0.58743778960013726</v>
      </c>
      <c r="AF57" s="28"/>
      <c r="AG57" s="25">
        <v>10</v>
      </c>
      <c r="AH57" s="25">
        <v>5.2919999999999998</v>
      </c>
      <c r="AI57" s="28"/>
      <c r="AJ57" s="28"/>
      <c r="AK57" s="25">
        <v>10</v>
      </c>
      <c r="AL57" s="25">
        <v>3.6309999999999998</v>
      </c>
      <c r="AM57" s="28"/>
      <c r="AN57" s="28"/>
      <c r="AO57" s="28"/>
      <c r="AP57" s="28"/>
    </row>
    <row r="58" spans="1:42" s="25" customFormat="1" ht="20.25" customHeight="1" x14ac:dyDescent="0.45">
      <c r="A58" s="26"/>
      <c r="B58" s="25">
        <v>2</v>
      </c>
      <c r="C58" s="25">
        <v>4</v>
      </c>
      <c r="E58" s="28"/>
      <c r="F58" s="25">
        <v>0</v>
      </c>
      <c r="G58" s="25">
        <v>5</v>
      </c>
      <c r="J58" s="25">
        <f>J48+J49+J50+J51+J52+J53+J54+J55+J56+J57</f>
        <v>26</v>
      </c>
      <c r="K58" s="25">
        <f>K48+K49+K50+K51+K52+K53+K54+K55+K56+K57</f>
        <v>14</v>
      </c>
      <c r="M58" s="25">
        <f>M48+M49+M50+M51+M52+M53+M54+M55+M56+M57</f>
        <v>10</v>
      </c>
      <c r="N58" s="25">
        <f>N48+N49+N50+N51+N52+N53+N54+N55+N56+N57</f>
        <v>28</v>
      </c>
      <c r="Q58" s="25">
        <f>Q48+Q49+Q50+Q51+Q52+Q53+Q54+Q55+Q56+Q57</f>
        <v>21</v>
      </c>
      <c r="R58" s="25">
        <f>R48+R49+R50+R51+R52+R53+R54+R55+R56+R57</f>
        <v>16</v>
      </c>
      <c r="S58" s="28"/>
      <c r="T58" s="25">
        <f>T48+T49+T50+T51+T52+T53+T54+T55+T56+T57</f>
        <v>12</v>
      </c>
      <c r="U58" s="25">
        <f>U48+U49+U50+U51+U52+U53+U54+U55+U56+U57</f>
        <v>26</v>
      </c>
      <c r="V58" s="28"/>
      <c r="W58" s="28"/>
      <c r="X58" s="28"/>
      <c r="Y58" s="25">
        <v>10</v>
      </c>
      <c r="Z58" s="25">
        <v>4.49</v>
      </c>
      <c r="AA58" s="28"/>
      <c r="AB58" s="28"/>
      <c r="AC58" s="25">
        <v>10</v>
      </c>
      <c r="AD58" s="25">
        <v>3.423</v>
      </c>
      <c r="AE58" s="28"/>
      <c r="AF58" s="28"/>
      <c r="AG58" s="25">
        <v>11</v>
      </c>
      <c r="AH58" s="25">
        <v>4.774</v>
      </c>
      <c r="AI58" s="25">
        <f>AH59/AH58</f>
        <v>0.95643066610808547</v>
      </c>
      <c r="AJ58" s="28"/>
      <c r="AK58" s="25">
        <v>11</v>
      </c>
      <c r="AL58" s="25">
        <v>7.2889999999999997</v>
      </c>
      <c r="AM58" s="25">
        <f>AL59/AL58</f>
        <v>0.5235286047468789</v>
      </c>
      <c r="AN58" s="28"/>
      <c r="AO58" s="28"/>
      <c r="AP58" s="28"/>
    </row>
    <row r="59" spans="1:42" s="25" customFormat="1" ht="20.25" customHeight="1" x14ac:dyDescent="0.45">
      <c r="A59" s="30" t="s">
        <v>17</v>
      </c>
      <c r="B59" s="25">
        <f>B49+B50+B51+B52+B53+B54+B55+B56+B57+B58</f>
        <v>28</v>
      </c>
      <c r="C59" s="25">
        <f>C49+C50+C51+C52+C53+C54+C55+C56+C57+C58</f>
        <v>19</v>
      </c>
      <c r="E59" s="28"/>
      <c r="F59" s="25">
        <f>F49+F50+F51+F52+F53+F54+F55+F56+F57+F58</f>
        <v>20</v>
      </c>
      <c r="G59" s="25">
        <f>G49+G50+G51+G52+G53+G54+G55+G56+G57+G58</f>
        <v>22</v>
      </c>
      <c r="I59" s="25" t="s">
        <v>10</v>
      </c>
      <c r="J59" s="25" t="s">
        <v>15</v>
      </c>
      <c r="K59" s="25" t="s">
        <v>16</v>
      </c>
      <c r="L59" s="25" t="s">
        <v>8</v>
      </c>
      <c r="M59" s="25" t="s">
        <v>15</v>
      </c>
      <c r="N59" s="25" t="s">
        <v>16</v>
      </c>
      <c r="P59" s="25" t="s">
        <v>10</v>
      </c>
      <c r="Q59" s="25" t="s">
        <v>15</v>
      </c>
      <c r="R59" s="25" t="s">
        <v>16</v>
      </c>
      <c r="S59" s="25" t="s">
        <v>8</v>
      </c>
      <c r="T59" s="25" t="s">
        <v>15</v>
      </c>
      <c r="U59" s="25" t="s">
        <v>16</v>
      </c>
      <c r="Y59" s="25">
        <v>11</v>
      </c>
      <c r="Z59" s="25">
        <v>4.8280000000000003</v>
      </c>
      <c r="AA59" s="25">
        <f>Z60/Z59</f>
        <v>0.86516155758077862</v>
      </c>
      <c r="AB59" s="28"/>
      <c r="AC59" s="25">
        <v>11</v>
      </c>
      <c r="AD59" s="25">
        <v>4.1509999999999998</v>
      </c>
      <c r="AE59" s="25">
        <f>AD59/AD60</f>
        <v>0.9700864688011217</v>
      </c>
      <c r="AF59" s="28"/>
      <c r="AG59" s="25">
        <v>12</v>
      </c>
      <c r="AH59" s="25">
        <v>4.5659999999999998</v>
      </c>
      <c r="AI59" s="28"/>
      <c r="AJ59" s="28"/>
      <c r="AK59" s="25">
        <v>12</v>
      </c>
      <c r="AL59" s="25">
        <v>3.8159999999999998</v>
      </c>
      <c r="AM59" s="28"/>
      <c r="AN59" s="28"/>
      <c r="AO59" s="28"/>
      <c r="AP59" s="28"/>
    </row>
    <row r="60" spans="1:42" s="25" customFormat="1" ht="20.25" customHeight="1" x14ac:dyDescent="0.45">
      <c r="A60" s="30" t="s">
        <v>10</v>
      </c>
      <c r="B60" s="25" t="s">
        <v>15</v>
      </c>
      <c r="C60" s="25" t="s">
        <v>16</v>
      </c>
      <c r="E60" s="25" t="s">
        <v>8</v>
      </c>
      <c r="F60" s="25" t="s">
        <v>15</v>
      </c>
      <c r="G60" s="25" t="s">
        <v>16</v>
      </c>
      <c r="I60" s="25" t="s">
        <v>25</v>
      </c>
      <c r="J60" s="25">
        <v>3</v>
      </c>
      <c r="K60" s="25">
        <v>0</v>
      </c>
      <c r="M60" s="25">
        <v>2</v>
      </c>
      <c r="N60" s="25">
        <v>3</v>
      </c>
      <c r="P60" s="27" t="s">
        <v>26</v>
      </c>
      <c r="Q60" s="27">
        <v>1</v>
      </c>
      <c r="R60" s="27">
        <v>3</v>
      </c>
      <c r="T60" s="27">
        <v>1</v>
      </c>
      <c r="U60" s="27">
        <v>2</v>
      </c>
      <c r="Y60" s="25">
        <v>12</v>
      </c>
      <c r="Z60" s="25">
        <v>4.1769999999999996</v>
      </c>
      <c r="AA60" s="28"/>
      <c r="AB60" s="28"/>
      <c r="AC60" s="25">
        <v>12</v>
      </c>
      <c r="AD60" s="25">
        <v>4.2789999999999999</v>
      </c>
      <c r="AE60" s="28"/>
      <c r="AF60" s="28"/>
      <c r="AG60" s="25">
        <v>13</v>
      </c>
      <c r="AH60" s="25">
        <v>7.68</v>
      </c>
      <c r="AI60" s="25">
        <f>AH61/AH60</f>
        <v>0.66471354166666674</v>
      </c>
      <c r="AJ60" s="28"/>
      <c r="AK60" s="25">
        <v>13</v>
      </c>
      <c r="AL60" s="25">
        <v>12.442</v>
      </c>
      <c r="AM60" s="25">
        <f>AL61/AL60</f>
        <v>0.30622086481273109</v>
      </c>
      <c r="AN60" s="28"/>
      <c r="AO60" s="28"/>
      <c r="AP60" s="28"/>
    </row>
    <row r="61" spans="1:42" s="25" customFormat="1" ht="20.25" customHeight="1" x14ac:dyDescent="0.45">
      <c r="A61" s="30" t="s">
        <v>27</v>
      </c>
      <c r="B61" s="25">
        <v>1</v>
      </c>
      <c r="C61" s="25">
        <v>3</v>
      </c>
      <c r="E61" s="28"/>
      <c r="F61" s="25">
        <v>0</v>
      </c>
      <c r="G61" s="25">
        <v>3</v>
      </c>
      <c r="J61" s="25">
        <v>2</v>
      </c>
      <c r="K61" s="25">
        <v>3</v>
      </c>
      <c r="M61" s="25">
        <v>3</v>
      </c>
      <c r="N61" s="25">
        <v>4</v>
      </c>
      <c r="Q61" s="27">
        <v>2</v>
      </c>
      <c r="R61" s="27">
        <v>1</v>
      </c>
      <c r="T61" s="27">
        <v>3</v>
      </c>
      <c r="U61" s="27">
        <v>2</v>
      </c>
      <c r="Y61" s="25">
        <v>13</v>
      </c>
      <c r="Z61" s="25">
        <v>6.3129999999999997</v>
      </c>
      <c r="AA61" s="25">
        <f>Z62/Z61</f>
        <v>0.78156185648661503</v>
      </c>
      <c r="AB61" s="28"/>
      <c r="AC61" s="25">
        <v>13</v>
      </c>
      <c r="AD61" s="25">
        <v>13.183</v>
      </c>
      <c r="AE61" s="25">
        <f>AD62/AD61</f>
        <v>0.3148752180838959</v>
      </c>
      <c r="AF61" s="28"/>
      <c r="AG61" s="25">
        <v>14</v>
      </c>
      <c r="AH61" s="25">
        <v>5.1050000000000004</v>
      </c>
      <c r="AI61" s="28"/>
      <c r="AJ61" s="28"/>
      <c r="AK61" s="25">
        <v>14</v>
      </c>
      <c r="AL61" s="25">
        <v>3.81</v>
      </c>
      <c r="AM61" s="28"/>
      <c r="AN61" s="28"/>
      <c r="AO61" s="28"/>
      <c r="AP61" s="28"/>
    </row>
    <row r="62" spans="1:42" s="25" customFormat="1" ht="20.25" customHeight="1" x14ac:dyDescent="0.45">
      <c r="A62" s="26"/>
      <c r="B62" s="25">
        <v>1</v>
      </c>
      <c r="C62" s="25">
        <v>3</v>
      </c>
      <c r="E62" s="28"/>
      <c r="F62" s="25">
        <v>1</v>
      </c>
      <c r="G62" s="25">
        <v>3</v>
      </c>
      <c r="J62" s="25">
        <v>3</v>
      </c>
      <c r="K62" s="25">
        <v>1</v>
      </c>
      <c r="M62" s="25">
        <v>2</v>
      </c>
      <c r="N62" s="25">
        <v>3</v>
      </c>
      <c r="Q62" s="27">
        <v>1</v>
      </c>
      <c r="R62" s="27">
        <v>1</v>
      </c>
      <c r="T62" s="27">
        <v>0</v>
      </c>
      <c r="U62" s="27">
        <v>3</v>
      </c>
      <c r="Y62" s="25">
        <v>14</v>
      </c>
      <c r="Z62" s="25">
        <v>4.9340000000000002</v>
      </c>
      <c r="AA62" s="28"/>
      <c r="AB62" s="28"/>
      <c r="AC62" s="25">
        <v>14</v>
      </c>
      <c r="AD62" s="25">
        <v>4.1509999999999998</v>
      </c>
      <c r="AE62" s="28"/>
      <c r="AF62" s="28"/>
      <c r="AG62" s="25">
        <v>15</v>
      </c>
      <c r="AH62" s="25">
        <v>3.12</v>
      </c>
      <c r="AI62" s="25">
        <f>AH62/AH63</f>
        <v>0.50080256821829849</v>
      </c>
      <c r="AJ62" s="28"/>
      <c r="AK62" s="25">
        <v>15</v>
      </c>
      <c r="AL62" s="25">
        <v>5.05</v>
      </c>
      <c r="AM62" s="25">
        <f>AL62/AL63</f>
        <v>0.96632223497895142</v>
      </c>
      <c r="AN62" s="28"/>
      <c r="AO62" s="28"/>
      <c r="AP62" s="28"/>
    </row>
    <row r="63" spans="1:42" s="25" customFormat="1" ht="20.25" customHeight="1" x14ac:dyDescent="0.45">
      <c r="A63" s="26"/>
      <c r="B63" s="25">
        <v>4</v>
      </c>
      <c r="C63" s="25">
        <v>0</v>
      </c>
      <c r="E63" s="28"/>
      <c r="F63" s="25">
        <v>2</v>
      </c>
      <c r="G63" s="25">
        <v>2</v>
      </c>
      <c r="J63" s="25">
        <v>3</v>
      </c>
      <c r="K63" s="25">
        <v>1</v>
      </c>
      <c r="M63" s="25">
        <v>0</v>
      </c>
      <c r="N63" s="25">
        <v>3</v>
      </c>
      <c r="Q63" s="27">
        <v>2</v>
      </c>
      <c r="R63" s="27">
        <v>1</v>
      </c>
      <c r="T63" s="27">
        <v>0</v>
      </c>
      <c r="U63" s="27">
        <v>5</v>
      </c>
      <c r="Y63" s="25">
        <v>15</v>
      </c>
      <c r="Z63" s="25">
        <v>8.7200000000000006</v>
      </c>
      <c r="AA63" s="25">
        <f>Z64/Z63</f>
        <v>0.47603211009174307</v>
      </c>
      <c r="AB63" s="28"/>
      <c r="AC63" s="25">
        <v>15</v>
      </c>
      <c r="AD63" s="25">
        <v>13.587</v>
      </c>
      <c r="AE63" s="25">
        <f>AD64/AD63</f>
        <v>0.25053359829248545</v>
      </c>
      <c r="AF63" s="28"/>
      <c r="AG63" s="25">
        <v>16</v>
      </c>
      <c r="AH63" s="25">
        <v>6.23</v>
      </c>
      <c r="AI63" s="28"/>
      <c r="AJ63" s="28"/>
      <c r="AK63" s="25">
        <v>16</v>
      </c>
      <c r="AL63" s="25">
        <v>5.226</v>
      </c>
      <c r="AM63" s="28"/>
      <c r="AN63" s="28"/>
      <c r="AO63" s="28"/>
      <c r="AP63" s="28"/>
    </row>
    <row r="64" spans="1:42" s="25" customFormat="1" ht="20.25" customHeight="1" x14ac:dyDescent="0.45">
      <c r="A64" s="26"/>
      <c r="B64" s="25">
        <v>4</v>
      </c>
      <c r="C64" s="25">
        <v>2</v>
      </c>
      <c r="E64" s="28"/>
      <c r="F64" s="25">
        <v>0</v>
      </c>
      <c r="G64" s="25">
        <v>4</v>
      </c>
      <c r="J64" s="25">
        <v>1</v>
      </c>
      <c r="K64" s="25">
        <v>3</v>
      </c>
      <c r="M64" s="25">
        <v>2</v>
      </c>
      <c r="N64" s="25">
        <v>2</v>
      </c>
      <c r="Q64" s="27">
        <v>4</v>
      </c>
      <c r="R64" s="27">
        <v>0</v>
      </c>
      <c r="T64" s="27">
        <v>0</v>
      </c>
      <c r="U64" s="27">
        <v>3</v>
      </c>
      <c r="Y64" s="25">
        <v>16</v>
      </c>
      <c r="Z64" s="25">
        <v>4.1509999999999998</v>
      </c>
      <c r="AA64" s="28"/>
      <c r="AB64" s="28"/>
      <c r="AC64" s="25">
        <v>16</v>
      </c>
      <c r="AD64" s="25">
        <v>3.4039999999999999</v>
      </c>
      <c r="AE64" s="28"/>
      <c r="AF64" s="28"/>
      <c r="AG64" s="25">
        <v>17</v>
      </c>
      <c r="AH64" s="25">
        <v>3.9660000000000002</v>
      </c>
      <c r="AI64" s="25">
        <f>AH65/AH64</f>
        <v>1</v>
      </c>
      <c r="AJ64" s="28"/>
      <c r="AK64" s="25">
        <v>17</v>
      </c>
      <c r="AL64" s="25">
        <v>9.1539999999999999</v>
      </c>
      <c r="AM64" s="25">
        <f>AL65/AL64</f>
        <v>0.47673148350447891</v>
      </c>
      <c r="AN64" s="28"/>
      <c r="AO64" s="28"/>
      <c r="AP64" s="28"/>
    </row>
    <row r="65" spans="1:42" s="25" customFormat="1" ht="20.25" customHeight="1" x14ac:dyDescent="0.45">
      <c r="A65" s="26"/>
      <c r="B65" s="25">
        <v>3</v>
      </c>
      <c r="C65" s="25">
        <v>3</v>
      </c>
      <c r="F65" s="25">
        <v>0</v>
      </c>
      <c r="G65" s="25">
        <v>6</v>
      </c>
      <c r="J65" s="25">
        <v>3</v>
      </c>
      <c r="K65" s="25">
        <v>2</v>
      </c>
      <c r="M65" s="25">
        <v>2</v>
      </c>
      <c r="N65" s="25">
        <v>1</v>
      </c>
      <c r="Q65" s="27">
        <v>5</v>
      </c>
      <c r="R65" s="27">
        <v>1</v>
      </c>
      <c r="T65" s="27">
        <v>0</v>
      </c>
      <c r="U65" s="27">
        <v>3</v>
      </c>
      <c r="Y65" s="25">
        <v>17</v>
      </c>
      <c r="Z65" s="25">
        <v>6.9740000000000002</v>
      </c>
      <c r="AA65" s="25">
        <f>Z66/Z65</f>
        <v>0.75881846859764834</v>
      </c>
      <c r="AB65" s="28"/>
      <c r="AC65" s="25">
        <v>17</v>
      </c>
      <c r="AD65" s="25">
        <v>9.0120000000000005</v>
      </c>
      <c r="AE65" s="25">
        <f>AD66/AD65</f>
        <v>0.40224145583666221</v>
      </c>
      <c r="AF65" s="28"/>
      <c r="AG65" s="25">
        <v>18</v>
      </c>
      <c r="AH65" s="25">
        <v>3.9660000000000002</v>
      </c>
      <c r="AI65" s="28"/>
      <c r="AJ65" s="28"/>
      <c r="AK65" s="25">
        <v>18</v>
      </c>
      <c r="AL65" s="25">
        <v>4.3639999999999999</v>
      </c>
      <c r="AM65" s="28"/>
      <c r="AN65" s="28"/>
      <c r="AO65" s="28"/>
      <c r="AP65" s="28"/>
    </row>
    <row r="66" spans="1:42" s="25" customFormat="1" ht="20.25" customHeight="1" x14ac:dyDescent="0.45">
      <c r="A66" s="26"/>
      <c r="B66" s="25">
        <v>2</v>
      </c>
      <c r="C66" s="25">
        <v>1</v>
      </c>
      <c r="F66" s="25">
        <v>3</v>
      </c>
      <c r="G66" s="25">
        <v>1</v>
      </c>
      <c r="J66" s="25">
        <v>1</v>
      </c>
      <c r="K66" s="25">
        <v>1</v>
      </c>
      <c r="M66" s="25">
        <v>0</v>
      </c>
      <c r="N66" s="25">
        <v>2</v>
      </c>
      <c r="Q66" s="27">
        <v>2</v>
      </c>
      <c r="R66" s="27">
        <v>1</v>
      </c>
      <c r="T66" s="27">
        <v>0</v>
      </c>
      <c r="U66" s="27">
        <v>2</v>
      </c>
      <c r="Y66" s="25">
        <v>18</v>
      </c>
      <c r="Z66" s="25">
        <v>5.2919999999999998</v>
      </c>
      <c r="AA66" s="28"/>
      <c r="AB66" s="28"/>
      <c r="AC66" s="25">
        <v>18</v>
      </c>
      <c r="AD66" s="25">
        <v>3.625</v>
      </c>
      <c r="AE66" s="28"/>
      <c r="AF66" s="28"/>
      <c r="AG66" s="25">
        <v>19</v>
      </c>
      <c r="AH66" s="25">
        <v>5.2060000000000004</v>
      </c>
      <c r="AI66" s="25">
        <f>AH66/AH67</f>
        <v>0.86277759363606243</v>
      </c>
      <c r="AJ66" s="28"/>
      <c r="AK66" s="25">
        <v>19</v>
      </c>
      <c r="AL66" s="25">
        <v>9.0969999999999995</v>
      </c>
      <c r="AM66" s="25">
        <f>AL67/AL66</f>
        <v>0.51632406287787191</v>
      </c>
      <c r="AN66" s="28"/>
      <c r="AO66" s="28"/>
      <c r="AP66" s="28"/>
    </row>
    <row r="67" spans="1:42" s="25" customFormat="1" ht="20.25" customHeight="1" x14ac:dyDescent="0.45">
      <c r="A67" s="26"/>
      <c r="B67" s="25">
        <v>3</v>
      </c>
      <c r="C67" s="25">
        <v>2</v>
      </c>
      <c r="F67" s="25">
        <v>1</v>
      </c>
      <c r="G67" s="25">
        <v>2</v>
      </c>
      <c r="J67" s="25">
        <v>2</v>
      </c>
      <c r="K67" s="25">
        <v>2</v>
      </c>
      <c r="M67" s="25">
        <v>1</v>
      </c>
      <c r="N67" s="25">
        <v>5</v>
      </c>
      <c r="Q67" s="27">
        <v>1</v>
      </c>
      <c r="R67" s="27">
        <v>3</v>
      </c>
      <c r="T67" s="27">
        <v>0</v>
      </c>
      <c r="U67" s="27">
        <v>5</v>
      </c>
      <c r="Y67" s="25">
        <v>19</v>
      </c>
      <c r="Z67" s="25">
        <v>6.1050000000000004</v>
      </c>
      <c r="AA67" s="25">
        <f>Z68/Z67</f>
        <v>0.70090090090090085</v>
      </c>
      <c r="AB67" s="28"/>
      <c r="AC67" s="25">
        <v>19</v>
      </c>
      <c r="AD67" s="25">
        <v>10.715</v>
      </c>
      <c r="AE67" s="25">
        <f>AD68/AD67</f>
        <v>0.26346243583761081</v>
      </c>
      <c r="AF67" s="28"/>
      <c r="AG67" s="25">
        <v>20</v>
      </c>
      <c r="AH67" s="25">
        <v>6.0339999999999998</v>
      </c>
      <c r="AI67" s="28"/>
      <c r="AJ67" s="28"/>
      <c r="AK67" s="25">
        <v>20</v>
      </c>
      <c r="AL67" s="25">
        <v>4.6970000000000001</v>
      </c>
      <c r="AM67" s="28"/>
      <c r="AN67" s="28"/>
      <c r="AO67" s="28"/>
      <c r="AP67" s="28"/>
    </row>
    <row r="68" spans="1:42" s="25" customFormat="1" ht="20.25" customHeight="1" x14ac:dyDescent="0.45">
      <c r="A68" s="26"/>
      <c r="B68" s="25">
        <v>2</v>
      </c>
      <c r="C68" s="25">
        <v>2</v>
      </c>
      <c r="F68" s="25">
        <v>1</v>
      </c>
      <c r="G68" s="25">
        <v>3</v>
      </c>
      <c r="J68" s="25">
        <v>3</v>
      </c>
      <c r="K68" s="25">
        <v>3</v>
      </c>
      <c r="M68" s="25">
        <v>1</v>
      </c>
      <c r="N68" s="25">
        <v>3</v>
      </c>
      <c r="Q68" s="27">
        <v>2</v>
      </c>
      <c r="R68" s="27">
        <v>2</v>
      </c>
      <c r="T68" s="27">
        <v>0</v>
      </c>
      <c r="U68" s="27">
        <v>3</v>
      </c>
      <c r="Y68" s="25">
        <v>20</v>
      </c>
      <c r="Z68" s="25">
        <v>4.2789999999999999</v>
      </c>
      <c r="AA68" s="28"/>
      <c r="AB68" s="28"/>
      <c r="AC68" s="25">
        <v>20</v>
      </c>
      <c r="AD68" s="25">
        <v>2.823</v>
      </c>
      <c r="AE68" s="28"/>
      <c r="AF68" s="28"/>
      <c r="AG68" s="28"/>
      <c r="AH68" s="28"/>
      <c r="AI68" s="25">
        <f>SUM(AI48:AI67)</f>
        <v>7.3578846352005831</v>
      </c>
      <c r="AM68" s="25">
        <f>SUM(AM48:AM67)</f>
        <v>4.8519732520491576</v>
      </c>
    </row>
    <row r="69" spans="1:42" s="25" customFormat="1" ht="20.25" customHeight="1" x14ac:dyDescent="0.45">
      <c r="A69" s="26"/>
      <c r="B69" s="25">
        <v>4</v>
      </c>
      <c r="C69" s="25">
        <v>2</v>
      </c>
      <c r="F69" s="25">
        <v>1</v>
      </c>
      <c r="G69" s="25">
        <v>3</v>
      </c>
      <c r="J69" s="25">
        <v>3</v>
      </c>
      <c r="K69" s="25">
        <v>1</v>
      </c>
      <c r="M69" s="25">
        <v>2</v>
      </c>
      <c r="N69" s="25">
        <v>2</v>
      </c>
      <c r="Q69" s="27">
        <v>2</v>
      </c>
      <c r="R69" s="27">
        <v>3</v>
      </c>
      <c r="T69" s="27">
        <v>2</v>
      </c>
      <c r="U69" s="27">
        <v>3</v>
      </c>
      <c r="Y69" s="25" t="s">
        <v>17</v>
      </c>
      <c r="AA69" s="25">
        <f>SUM(AA49:AA68)</f>
        <v>7.546862595985786</v>
      </c>
      <c r="AC69" s="25" t="s">
        <v>17</v>
      </c>
      <c r="AE69" s="25">
        <f>SUM(AE49:AE68)</f>
        <v>5.2034934506820241</v>
      </c>
    </row>
    <row r="70" spans="1:42" s="25" customFormat="1" ht="20.25" customHeight="1" x14ac:dyDescent="0.45">
      <c r="A70" s="30" t="s">
        <v>17</v>
      </c>
      <c r="B70" s="25">
        <f>B61+B62+B63+B64+B65+B66+B67+B68+B69</f>
        <v>24</v>
      </c>
      <c r="C70" s="25">
        <f>C61+C62+C63+C64+C65+C66+C67+C68+C69</f>
        <v>18</v>
      </c>
      <c r="F70" s="25">
        <f>F61+F62+F63+F64+F65+F66+F67+F68+F69</f>
        <v>9</v>
      </c>
      <c r="G70" s="25">
        <f>G61+G62+G63+G64+G65+G66+G67+G68+G69</f>
        <v>27</v>
      </c>
      <c r="J70" s="25">
        <f>J60+J61+J62+J63+J64+J65+J66+J67+J68+J69</f>
        <v>24</v>
      </c>
      <c r="K70" s="25">
        <f>K60+K61+K62+K63+K64+K65+K66+K67+K68+K69</f>
        <v>17</v>
      </c>
      <c r="M70" s="25">
        <f>M60+M61+M62+M63+M64+M65+M66+M67+M68+M69</f>
        <v>15</v>
      </c>
      <c r="N70" s="25">
        <f>N60+N61+N62+N63+N64+N65+N66+N67+N68+N69</f>
        <v>28</v>
      </c>
      <c r="Q70" s="25">
        <f>Q60+Q61+Q62+Q63+Q64+Q65+Q66+Q67+Q68+Q69</f>
        <v>22</v>
      </c>
      <c r="R70" s="25">
        <f>R60+R61+R62+R63+R64+R65+R66+R67+R68+R69</f>
        <v>16</v>
      </c>
      <c r="S70" s="28"/>
      <c r="T70" s="25">
        <f>T60+T61+T62+T63+T64+T65+T66+T67+T68+T69</f>
        <v>6</v>
      </c>
      <c r="U70" s="25">
        <f>U60+U61+U62+U63+U64+U65+U66+U67+U68+U69</f>
        <v>31</v>
      </c>
      <c r="V70" s="28"/>
      <c r="W70" s="28"/>
      <c r="X70" s="28"/>
      <c r="Y70" s="25" t="s">
        <v>27</v>
      </c>
      <c r="Z70" s="28"/>
      <c r="AA70" s="28"/>
      <c r="AB70" s="28"/>
      <c r="AC70" s="28"/>
      <c r="AD70" s="28"/>
      <c r="AE70" s="28"/>
      <c r="AG70" s="25" t="s">
        <v>25</v>
      </c>
    </row>
    <row r="71" spans="1:42" s="25" customFormat="1" ht="20.25" customHeight="1" x14ac:dyDescent="0.45">
      <c r="A71" s="30" t="s">
        <v>10</v>
      </c>
      <c r="B71" s="25" t="s">
        <v>15</v>
      </c>
      <c r="C71" s="25" t="s">
        <v>16</v>
      </c>
      <c r="E71" s="25" t="s">
        <v>8</v>
      </c>
      <c r="F71" s="25" t="s">
        <v>15</v>
      </c>
      <c r="G71" s="25" t="s">
        <v>16</v>
      </c>
      <c r="I71" s="25" t="s">
        <v>10</v>
      </c>
      <c r="J71" s="25" t="s">
        <v>15</v>
      </c>
      <c r="K71" s="25" t="s">
        <v>16</v>
      </c>
      <c r="L71" s="25" t="s">
        <v>8</v>
      </c>
      <c r="M71" s="25" t="s">
        <v>15</v>
      </c>
      <c r="N71" s="25" t="s">
        <v>16</v>
      </c>
      <c r="P71" s="25" t="s">
        <v>10</v>
      </c>
      <c r="Q71" s="25" t="s">
        <v>15</v>
      </c>
      <c r="R71" s="25" t="s">
        <v>16</v>
      </c>
      <c r="S71" s="25" t="s">
        <v>8</v>
      </c>
      <c r="T71" s="25" t="s">
        <v>15</v>
      </c>
      <c r="U71" s="25" t="s">
        <v>16</v>
      </c>
      <c r="Y71" s="25">
        <v>1</v>
      </c>
      <c r="Z71" s="25">
        <v>7.89</v>
      </c>
      <c r="AA71" s="25">
        <f>Z72/Z71</f>
        <v>0.61191381495564012</v>
      </c>
      <c r="AB71" s="28"/>
      <c r="AC71" s="25">
        <v>1</v>
      </c>
      <c r="AD71" s="25">
        <v>10.221</v>
      </c>
      <c r="AE71" s="25">
        <f>AD72/AD71</f>
        <v>0.61393210057724301</v>
      </c>
      <c r="AF71" s="28"/>
      <c r="AG71" s="25">
        <v>1</v>
      </c>
      <c r="AH71" s="25">
        <v>8.2639999999999993</v>
      </c>
      <c r="AI71" s="25">
        <f>AH72/AH71</f>
        <v>0.556026137463698</v>
      </c>
      <c r="AJ71" s="28"/>
      <c r="AK71" s="25">
        <v>1</v>
      </c>
      <c r="AL71" s="25">
        <v>5.3970000000000002</v>
      </c>
      <c r="AM71" s="25">
        <f>AL71/AL72</f>
        <v>0.89606508384525996</v>
      </c>
      <c r="AN71" s="28"/>
      <c r="AO71" s="28"/>
      <c r="AP71" s="28"/>
    </row>
    <row r="72" spans="1:42" s="25" customFormat="1" ht="20.25" customHeight="1" x14ac:dyDescent="0.45">
      <c r="A72" s="30" t="s">
        <v>28</v>
      </c>
      <c r="B72" s="25">
        <v>3</v>
      </c>
      <c r="C72" s="25">
        <v>2</v>
      </c>
      <c r="F72" s="25">
        <v>1</v>
      </c>
      <c r="G72" s="25">
        <v>3</v>
      </c>
      <c r="I72" s="25" t="s">
        <v>29</v>
      </c>
      <c r="J72" s="25">
        <v>3</v>
      </c>
      <c r="K72" s="25">
        <v>1</v>
      </c>
      <c r="M72" s="25">
        <v>3</v>
      </c>
      <c r="N72" s="25">
        <v>1</v>
      </c>
      <c r="P72" s="27" t="s">
        <v>30</v>
      </c>
      <c r="Q72" s="27">
        <v>3</v>
      </c>
      <c r="R72" s="27">
        <v>1</v>
      </c>
      <c r="T72" s="27">
        <v>2</v>
      </c>
      <c r="U72" s="27">
        <v>1</v>
      </c>
      <c r="Y72" s="25">
        <v>2</v>
      </c>
      <c r="Z72" s="25">
        <v>4.8280000000000003</v>
      </c>
      <c r="AA72" s="28"/>
      <c r="AB72" s="28"/>
      <c r="AC72" s="25">
        <v>2</v>
      </c>
      <c r="AD72" s="25">
        <v>6.2750000000000004</v>
      </c>
      <c r="AE72" s="28"/>
      <c r="AF72" s="28"/>
      <c r="AG72" s="25">
        <v>2</v>
      </c>
      <c r="AH72" s="25">
        <v>4.5949999999999998</v>
      </c>
      <c r="AI72" s="28"/>
      <c r="AJ72" s="28"/>
      <c r="AK72" s="25">
        <v>2</v>
      </c>
      <c r="AL72" s="25">
        <v>6.0229999999999997</v>
      </c>
      <c r="AM72" s="28"/>
      <c r="AN72" s="28"/>
      <c r="AO72" s="28"/>
      <c r="AP72" s="28"/>
    </row>
    <row r="73" spans="1:42" s="25" customFormat="1" ht="20.25" customHeight="1" x14ac:dyDescent="0.45">
      <c r="A73" s="26"/>
      <c r="B73" s="25">
        <v>2</v>
      </c>
      <c r="C73" s="25">
        <v>3</v>
      </c>
      <c r="F73" s="25">
        <v>1</v>
      </c>
      <c r="G73" s="25">
        <v>5</v>
      </c>
      <c r="J73" s="25">
        <v>3</v>
      </c>
      <c r="K73" s="25">
        <v>1</v>
      </c>
      <c r="M73" s="25">
        <v>3</v>
      </c>
      <c r="N73" s="25">
        <v>3</v>
      </c>
      <c r="Q73" s="27">
        <v>3</v>
      </c>
      <c r="R73" s="27">
        <v>1</v>
      </c>
      <c r="T73" s="27">
        <v>0</v>
      </c>
      <c r="U73" s="27">
        <v>3</v>
      </c>
      <c r="Y73" s="25">
        <v>3</v>
      </c>
      <c r="Z73" s="25">
        <v>8.5730000000000004</v>
      </c>
      <c r="AA73" s="25">
        <f>Z74/Z73</f>
        <v>0.4896768925696956</v>
      </c>
      <c r="AB73" s="28"/>
      <c r="AC73" s="25">
        <v>3</v>
      </c>
      <c r="AD73" s="25">
        <v>8.266</v>
      </c>
      <c r="AE73" s="25">
        <f>AD74/AD73</f>
        <v>0.41797725623034115</v>
      </c>
      <c r="AF73" s="28"/>
      <c r="AG73" s="25">
        <v>3</v>
      </c>
      <c r="AH73" s="25">
        <v>7.8330000000000002</v>
      </c>
      <c r="AI73" s="25">
        <f>AH74/AH73</f>
        <v>0.41388995276394741</v>
      </c>
      <c r="AJ73" s="28"/>
      <c r="AK73" s="25">
        <v>3</v>
      </c>
      <c r="AL73" s="25">
        <v>8.4700000000000006</v>
      </c>
      <c r="AM73" s="25">
        <f>AL74/AL73</f>
        <v>0.57414403778040146</v>
      </c>
      <c r="AN73" s="28"/>
      <c r="AO73" s="28"/>
      <c r="AP73" s="28"/>
    </row>
    <row r="74" spans="1:42" s="25" customFormat="1" ht="20.25" customHeight="1" x14ac:dyDescent="0.45">
      <c r="A74" s="26"/>
      <c r="B74" s="25">
        <v>2</v>
      </c>
      <c r="C74" s="25">
        <v>2</v>
      </c>
      <c r="F74" s="25">
        <v>2</v>
      </c>
      <c r="G74" s="25">
        <v>2</v>
      </c>
      <c r="J74" s="25">
        <v>2</v>
      </c>
      <c r="K74" s="25">
        <v>2</v>
      </c>
      <c r="M74" s="25">
        <v>0</v>
      </c>
      <c r="N74" s="25">
        <v>2</v>
      </c>
      <c r="Q74" s="27">
        <v>0</v>
      </c>
      <c r="R74" s="27">
        <v>3</v>
      </c>
      <c r="T74" s="27">
        <v>0</v>
      </c>
      <c r="U74" s="27">
        <v>3</v>
      </c>
      <c r="Y74" s="25">
        <v>4</v>
      </c>
      <c r="Z74" s="25">
        <v>4.1980000000000004</v>
      </c>
      <c r="AA74" s="28"/>
      <c r="AB74" s="28"/>
      <c r="AC74" s="25">
        <v>4</v>
      </c>
      <c r="AD74" s="25">
        <v>3.4550000000000001</v>
      </c>
      <c r="AE74" s="28"/>
      <c r="AF74" s="28"/>
      <c r="AG74" s="25">
        <v>4</v>
      </c>
      <c r="AH74" s="25">
        <v>3.242</v>
      </c>
      <c r="AI74" s="28"/>
      <c r="AJ74" s="28"/>
      <c r="AK74" s="25">
        <v>4</v>
      </c>
      <c r="AL74" s="25">
        <v>4.8630000000000004</v>
      </c>
      <c r="AM74" s="28"/>
      <c r="AN74" s="28"/>
      <c r="AO74" s="28"/>
      <c r="AP74" s="28"/>
    </row>
    <row r="75" spans="1:42" s="25" customFormat="1" ht="20.25" customHeight="1" x14ac:dyDescent="0.45">
      <c r="A75" s="26"/>
      <c r="B75" s="25">
        <v>1</v>
      </c>
      <c r="C75" s="25">
        <v>2</v>
      </c>
      <c r="F75" s="25">
        <v>3</v>
      </c>
      <c r="G75" s="25">
        <v>0</v>
      </c>
      <c r="J75" s="25">
        <v>3</v>
      </c>
      <c r="K75" s="25">
        <v>2</v>
      </c>
      <c r="M75" s="25">
        <v>0</v>
      </c>
      <c r="N75" s="25">
        <v>3</v>
      </c>
      <c r="Q75" s="27">
        <v>2</v>
      </c>
      <c r="R75" s="27">
        <v>2</v>
      </c>
      <c r="T75" s="27">
        <v>0</v>
      </c>
      <c r="U75" s="27">
        <v>3</v>
      </c>
      <c r="Y75" s="25">
        <v>5</v>
      </c>
      <c r="Z75" s="25">
        <v>6.6449999999999996</v>
      </c>
      <c r="AA75" s="25">
        <f>Z76/Z75</f>
        <v>0.67283671933784805</v>
      </c>
      <c r="AB75" s="28"/>
      <c r="AC75" s="25">
        <v>5</v>
      </c>
      <c r="AD75" s="25">
        <v>6.3940000000000001</v>
      </c>
      <c r="AE75" s="25">
        <f>AD76/AD75</f>
        <v>0.54035032843290587</v>
      </c>
      <c r="AF75" s="28"/>
      <c r="AG75" s="25">
        <v>5</v>
      </c>
      <c r="AH75" s="25">
        <v>7.22</v>
      </c>
      <c r="AI75" s="25">
        <f>AH76/AH75</f>
        <v>0.65678670360110802</v>
      </c>
      <c r="AJ75" s="28"/>
      <c r="AK75" s="25">
        <v>5</v>
      </c>
      <c r="AL75" s="25">
        <v>4.99</v>
      </c>
      <c r="AM75" s="25">
        <f>AL75/AL76</f>
        <v>0.82452081956378065</v>
      </c>
      <c r="AN75" s="28"/>
      <c r="AO75" s="28"/>
      <c r="AP75" s="28"/>
    </row>
    <row r="76" spans="1:42" s="25" customFormat="1" ht="20.25" customHeight="1" x14ac:dyDescent="0.45">
      <c r="A76" s="26"/>
      <c r="B76" s="25">
        <v>1</v>
      </c>
      <c r="C76" s="25">
        <v>2</v>
      </c>
      <c r="F76" s="25">
        <v>4</v>
      </c>
      <c r="G76" s="25">
        <v>3</v>
      </c>
      <c r="J76" s="25">
        <v>3</v>
      </c>
      <c r="K76" s="25">
        <v>3</v>
      </c>
      <c r="M76" s="25">
        <v>1</v>
      </c>
      <c r="N76" s="25">
        <v>5</v>
      </c>
      <c r="Q76" s="27">
        <v>3</v>
      </c>
      <c r="R76" s="27">
        <v>1</v>
      </c>
      <c r="T76" s="27">
        <v>1</v>
      </c>
      <c r="U76" s="27">
        <v>3</v>
      </c>
      <c r="Y76" s="25">
        <v>6</v>
      </c>
      <c r="Z76" s="25">
        <v>4.4710000000000001</v>
      </c>
      <c r="AA76" s="28"/>
      <c r="AB76" s="28"/>
      <c r="AC76" s="25">
        <v>6</v>
      </c>
      <c r="AD76" s="25">
        <v>3.4550000000000001</v>
      </c>
      <c r="AE76" s="28"/>
      <c r="AF76" s="28"/>
      <c r="AG76" s="25">
        <v>6</v>
      </c>
      <c r="AH76" s="25">
        <v>4.742</v>
      </c>
      <c r="AI76" s="28"/>
      <c r="AJ76" s="28"/>
      <c r="AK76" s="25">
        <v>6</v>
      </c>
      <c r="AL76" s="25">
        <v>6.0519999999999996</v>
      </c>
      <c r="AM76" s="28"/>
      <c r="AN76" s="28"/>
      <c r="AO76" s="28"/>
      <c r="AP76" s="28"/>
    </row>
    <row r="77" spans="1:42" s="25" customFormat="1" ht="20.25" customHeight="1" x14ac:dyDescent="0.45">
      <c r="A77" s="26"/>
      <c r="B77" s="25">
        <v>3</v>
      </c>
      <c r="C77" s="25">
        <v>1</v>
      </c>
      <c r="F77" s="25">
        <v>0</v>
      </c>
      <c r="G77" s="25">
        <v>3</v>
      </c>
      <c r="J77" s="25">
        <v>1</v>
      </c>
      <c r="K77" s="25">
        <v>0</v>
      </c>
      <c r="M77" s="25">
        <v>2</v>
      </c>
      <c r="N77" s="25">
        <v>2</v>
      </c>
      <c r="Q77" s="27">
        <v>1</v>
      </c>
      <c r="R77" s="27">
        <v>2</v>
      </c>
      <c r="T77" s="27">
        <v>0</v>
      </c>
      <c r="U77" s="27">
        <v>3</v>
      </c>
      <c r="Y77" s="25">
        <v>7</v>
      </c>
      <c r="Z77" s="25">
        <v>6.6710000000000003</v>
      </c>
      <c r="AA77" s="25">
        <f>Z78/Z77</f>
        <v>0.90721031329635726</v>
      </c>
      <c r="AB77" s="28"/>
      <c r="AC77" s="25">
        <v>7</v>
      </c>
      <c r="AD77" s="25">
        <v>4.1980000000000004</v>
      </c>
      <c r="AE77" s="25">
        <f>AD78/AD77</f>
        <v>0.86350643163411145</v>
      </c>
      <c r="AF77" s="28"/>
      <c r="AG77" s="25">
        <v>7</v>
      </c>
      <c r="AH77" s="25">
        <v>14.537000000000001</v>
      </c>
      <c r="AI77" s="25">
        <f>AH78/AH77</f>
        <v>0.27426566691889659</v>
      </c>
      <c r="AJ77" s="28"/>
      <c r="AK77" s="25">
        <v>7</v>
      </c>
      <c r="AL77" s="25">
        <v>6.6449999999999996</v>
      </c>
      <c r="AM77" s="25">
        <f>AL78/AL77</f>
        <v>0.31241534988713321</v>
      </c>
      <c r="AN77" s="28"/>
      <c r="AO77" s="28"/>
      <c r="AP77" s="28"/>
    </row>
    <row r="78" spans="1:42" s="25" customFormat="1" ht="20.25" customHeight="1" x14ac:dyDescent="0.45">
      <c r="A78" s="26"/>
      <c r="B78" s="25">
        <v>3</v>
      </c>
      <c r="C78" s="25">
        <v>1</v>
      </c>
      <c r="F78" s="25">
        <v>0</v>
      </c>
      <c r="G78" s="25">
        <v>4</v>
      </c>
      <c r="J78" s="25">
        <v>2</v>
      </c>
      <c r="K78" s="25">
        <v>2</v>
      </c>
      <c r="M78" s="25">
        <v>3</v>
      </c>
      <c r="N78" s="25">
        <v>0</v>
      </c>
      <c r="Q78" s="27">
        <v>2</v>
      </c>
      <c r="R78" s="27">
        <v>1</v>
      </c>
      <c r="T78" s="27">
        <v>1</v>
      </c>
      <c r="U78" s="27">
        <v>3</v>
      </c>
      <c r="Y78" s="25">
        <v>8</v>
      </c>
      <c r="Z78" s="25">
        <v>6.0519999999999996</v>
      </c>
      <c r="AA78" s="28"/>
      <c r="AB78" s="28"/>
      <c r="AC78" s="25">
        <v>8</v>
      </c>
      <c r="AD78" s="25">
        <v>3.625</v>
      </c>
      <c r="AE78" s="28"/>
      <c r="AF78" s="28"/>
      <c r="AG78" s="25">
        <v>8</v>
      </c>
      <c r="AH78" s="25">
        <v>3.9870000000000001</v>
      </c>
      <c r="AI78" s="28"/>
      <c r="AJ78" s="28"/>
      <c r="AK78" s="25">
        <v>8</v>
      </c>
      <c r="AL78" s="25">
        <v>2.0760000000000001</v>
      </c>
      <c r="AM78" s="28"/>
      <c r="AN78" s="28"/>
      <c r="AO78" s="28"/>
      <c r="AP78" s="28"/>
    </row>
    <row r="79" spans="1:42" s="25" customFormat="1" ht="20.25" customHeight="1" x14ac:dyDescent="0.45">
      <c r="A79" s="26"/>
      <c r="B79" s="25">
        <v>3</v>
      </c>
      <c r="C79" s="25">
        <v>1</v>
      </c>
      <c r="F79" s="25">
        <v>0</v>
      </c>
      <c r="G79" s="25">
        <v>3</v>
      </c>
      <c r="J79" s="25">
        <v>0</v>
      </c>
      <c r="K79" s="25">
        <v>2</v>
      </c>
      <c r="M79" s="25">
        <v>0</v>
      </c>
      <c r="N79" s="25">
        <v>4</v>
      </c>
      <c r="Q79" s="27">
        <v>0</v>
      </c>
      <c r="R79" s="27">
        <v>2</v>
      </c>
      <c r="T79" s="27">
        <v>4</v>
      </c>
      <c r="U79" s="27">
        <v>1</v>
      </c>
      <c r="Y79" s="25">
        <v>9</v>
      </c>
      <c r="Z79" s="25">
        <v>7.2679999999999998</v>
      </c>
      <c r="AA79" s="25">
        <f>Z80/Z79</f>
        <v>0.80173362685745742</v>
      </c>
      <c r="AB79" s="28"/>
      <c r="AC79" s="25">
        <v>9</v>
      </c>
      <c r="AD79" s="25">
        <v>11.603</v>
      </c>
      <c r="AE79" s="25">
        <f>AD80/AD79</f>
        <v>0.35146082909592352</v>
      </c>
      <c r="AF79" s="28"/>
      <c r="AG79" s="25">
        <v>9</v>
      </c>
      <c r="AH79" s="25">
        <v>7.024</v>
      </c>
      <c r="AI79" s="25">
        <f>AH80/AH79</f>
        <v>0.68735763097949887</v>
      </c>
      <c r="AJ79" s="28"/>
      <c r="AK79" s="25">
        <v>9</v>
      </c>
      <c r="AL79" s="25">
        <v>12.55</v>
      </c>
      <c r="AM79" s="25">
        <f>AL80/AL79</f>
        <v>0.15250996015936252</v>
      </c>
      <c r="AN79" s="28"/>
      <c r="AO79" s="28"/>
      <c r="AP79" s="28"/>
    </row>
    <row r="80" spans="1:42" s="25" customFormat="1" ht="20.25" customHeight="1" x14ac:dyDescent="0.45">
      <c r="A80" s="26"/>
      <c r="B80" s="25">
        <v>2</v>
      </c>
      <c r="C80" s="25">
        <v>1</v>
      </c>
      <c r="F80" s="25">
        <v>0</v>
      </c>
      <c r="G80" s="25">
        <v>4</v>
      </c>
      <c r="J80" s="25">
        <v>0</v>
      </c>
      <c r="K80" s="25">
        <v>2</v>
      </c>
      <c r="M80" s="25">
        <v>2</v>
      </c>
      <c r="N80" s="25">
        <v>3</v>
      </c>
      <c r="Q80" s="27">
        <v>0</v>
      </c>
      <c r="R80" s="27">
        <v>2</v>
      </c>
      <c r="T80" s="27">
        <v>2</v>
      </c>
      <c r="U80" s="27">
        <v>2</v>
      </c>
      <c r="Y80" s="25">
        <v>10</v>
      </c>
      <c r="Z80" s="25">
        <v>5.827</v>
      </c>
      <c r="AA80" s="28"/>
      <c r="AB80" s="28"/>
      <c r="AC80" s="25">
        <v>10</v>
      </c>
      <c r="AD80" s="25">
        <v>4.0780000000000003</v>
      </c>
      <c r="AE80" s="28"/>
      <c r="AF80" s="28"/>
      <c r="AG80" s="25">
        <v>10</v>
      </c>
      <c r="AH80" s="25">
        <v>4.8280000000000003</v>
      </c>
      <c r="AI80" s="28"/>
      <c r="AJ80" s="28"/>
      <c r="AK80" s="25">
        <v>10</v>
      </c>
      <c r="AL80" s="25">
        <v>1.9139999999999999</v>
      </c>
      <c r="AM80" s="28"/>
      <c r="AN80" s="28"/>
      <c r="AO80" s="28"/>
      <c r="AP80" s="28"/>
    </row>
    <row r="81" spans="1:42" s="25" customFormat="1" ht="20.25" customHeight="1" x14ac:dyDescent="0.45">
      <c r="A81" s="26"/>
      <c r="B81" s="25">
        <v>2</v>
      </c>
      <c r="C81" s="25">
        <v>2</v>
      </c>
      <c r="F81" s="25">
        <v>2</v>
      </c>
      <c r="G81" s="25">
        <v>2</v>
      </c>
      <c r="J81" s="25">
        <v>3</v>
      </c>
      <c r="K81" s="25">
        <v>1</v>
      </c>
      <c r="M81" s="25">
        <v>1</v>
      </c>
      <c r="N81" s="25">
        <v>5</v>
      </c>
      <c r="Q81" s="27">
        <v>0</v>
      </c>
      <c r="R81" s="27">
        <v>3</v>
      </c>
      <c r="T81" s="27">
        <v>0</v>
      </c>
      <c r="U81" s="27">
        <v>4</v>
      </c>
      <c r="Y81" s="25">
        <v>11</v>
      </c>
      <c r="Z81" s="25">
        <v>8.673</v>
      </c>
      <c r="AA81" s="25">
        <f>Z82/Z81</f>
        <v>0.40689496137438025</v>
      </c>
      <c r="AB81" s="28"/>
      <c r="AC81" s="25">
        <v>11</v>
      </c>
      <c r="AD81" s="25">
        <v>5.3890000000000002</v>
      </c>
      <c r="AE81" s="25">
        <f>AD81/AD82</f>
        <v>0.95889679715302489</v>
      </c>
      <c r="AF81" s="28"/>
      <c r="AG81" s="25">
        <v>11</v>
      </c>
      <c r="AH81" s="25">
        <v>5.7110000000000003</v>
      </c>
      <c r="AI81" s="25">
        <f>AH82/AH81</f>
        <v>0.87375240763438977</v>
      </c>
      <c r="AJ81" s="28"/>
      <c r="AK81" s="25">
        <v>11</v>
      </c>
      <c r="AL81" s="25">
        <v>7.4980000000000002</v>
      </c>
      <c r="AM81" s="25">
        <f>AL82/AL81</f>
        <v>0.43771672445985593</v>
      </c>
      <c r="AN81" s="28"/>
      <c r="AO81" s="28"/>
      <c r="AP81" s="28"/>
    </row>
    <row r="82" spans="1:42" s="25" customFormat="1" ht="20.25" customHeight="1" x14ac:dyDescent="0.45">
      <c r="A82" s="30" t="s">
        <v>17</v>
      </c>
      <c r="B82" s="25">
        <f>B72+B73+B74+B75+B76+B77+B78+B79+B80+B81</f>
        <v>22</v>
      </c>
      <c r="C82" s="25">
        <f>C72+C73+C74+C75+C76+C77+C78+C79+C80+C81</f>
        <v>17</v>
      </c>
      <c r="F82" s="25">
        <f>F72+F73+F74+F75+F76+F77+F78+F79+F80+F81</f>
        <v>13</v>
      </c>
      <c r="G82" s="25">
        <f>G72+G73+G74+G75+G76+G77+G78+G79+G80+G81</f>
        <v>29</v>
      </c>
      <c r="I82" s="28"/>
      <c r="J82" s="25">
        <f>SUM(J72:J81)</f>
        <v>20</v>
      </c>
      <c r="K82" s="25">
        <f>SUM(K72:K81)</f>
        <v>16</v>
      </c>
      <c r="L82" s="28"/>
      <c r="M82" s="25">
        <f>SUM(M72:M81)</f>
        <v>15</v>
      </c>
      <c r="N82" s="25">
        <f>SUM(N72:N81)</f>
        <v>28</v>
      </c>
      <c r="Q82" s="25">
        <f>Q72+Q73+Q74+Q75+Q76+Q77+Q78+Q79+Q80+Q81</f>
        <v>14</v>
      </c>
      <c r="R82" s="25">
        <f>R72+R73+R74+R75+R76+R77+R78+R79+R80+R81</f>
        <v>18</v>
      </c>
      <c r="T82" s="25">
        <f>T72+T73+T74+T75+T76+T77+T78+T79+T80+T81</f>
        <v>10</v>
      </c>
      <c r="U82" s="25">
        <f>U72+U73+U74+U75+U76+U77+U78+U79+U80+U81</f>
        <v>26</v>
      </c>
      <c r="Y82" s="25">
        <v>12</v>
      </c>
      <c r="Z82" s="25">
        <v>3.5289999999999999</v>
      </c>
      <c r="AA82" s="28"/>
      <c r="AB82" s="28"/>
      <c r="AC82" s="25">
        <v>12</v>
      </c>
      <c r="AD82" s="25">
        <v>5.62</v>
      </c>
      <c r="AE82" s="28"/>
      <c r="AF82" s="28"/>
      <c r="AG82" s="25">
        <v>12</v>
      </c>
      <c r="AH82" s="25">
        <v>4.99</v>
      </c>
      <c r="AI82" s="28"/>
      <c r="AJ82" s="28"/>
      <c r="AK82" s="25">
        <v>12</v>
      </c>
      <c r="AL82" s="25">
        <v>3.282</v>
      </c>
      <c r="AM82" s="28"/>
      <c r="AN82" s="28"/>
      <c r="AO82" s="28"/>
      <c r="AP82" s="28"/>
    </row>
    <row r="83" spans="1:42" s="25" customFormat="1" ht="20.25" customHeight="1" x14ac:dyDescent="0.45">
      <c r="A83" s="30" t="s">
        <v>10</v>
      </c>
      <c r="B83" s="25" t="s">
        <v>15</v>
      </c>
      <c r="C83" s="25" t="s">
        <v>16</v>
      </c>
      <c r="E83" s="25" t="s">
        <v>8</v>
      </c>
      <c r="F83" s="25" t="s">
        <v>15</v>
      </c>
      <c r="G83" s="25" t="s">
        <v>16</v>
      </c>
      <c r="I83" s="25" t="s">
        <v>10</v>
      </c>
      <c r="J83" s="25" t="s">
        <v>15</v>
      </c>
      <c r="K83" s="25" t="s">
        <v>16</v>
      </c>
      <c r="L83" s="25" t="s">
        <v>8</v>
      </c>
      <c r="M83" s="25" t="s">
        <v>15</v>
      </c>
      <c r="N83" s="25" t="s">
        <v>16</v>
      </c>
      <c r="P83" s="25" t="s">
        <v>10</v>
      </c>
      <c r="Q83" s="25" t="s">
        <v>15</v>
      </c>
      <c r="R83" s="25" t="s">
        <v>16</v>
      </c>
      <c r="S83" s="25" t="s">
        <v>8</v>
      </c>
      <c r="T83" s="25" t="s">
        <v>15</v>
      </c>
      <c r="U83" s="25" t="s">
        <v>16</v>
      </c>
      <c r="Y83" s="25">
        <v>13</v>
      </c>
      <c r="Z83" s="25">
        <v>4.641</v>
      </c>
      <c r="AA83" s="25">
        <f>Z84/Z83</f>
        <v>0.64037922861452268</v>
      </c>
      <c r="AB83" s="28"/>
      <c r="AC83" s="25">
        <v>13</v>
      </c>
      <c r="AD83" s="25">
        <v>6.8529999999999998</v>
      </c>
      <c r="AE83" s="25">
        <f>AD84/AD83</f>
        <v>0.67722165474974472</v>
      </c>
      <c r="AF83" s="28"/>
      <c r="AG83" s="25">
        <v>13</v>
      </c>
      <c r="AH83" s="25">
        <v>7.484</v>
      </c>
      <c r="AI83" s="25">
        <f>AH84/AH83</f>
        <v>0.7216729021913415</v>
      </c>
      <c r="AJ83" s="28"/>
      <c r="AK83" s="25">
        <v>13</v>
      </c>
      <c r="AL83" s="25">
        <v>6.6710000000000003</v>
      </c>
      <c r="AM83" s="25">
        <f>AL84/AL83</f>
        <v>0.4356168490481187</v>
      </c>
      <c r="AN83" s="28"/>
      <c r="AO83" s="28"/>
      <c r="AP83" s="28"/>
    </row>
    <row r="84" spans="1:42" s="25" customFormat="1" ht="20.25" customHeight="1" x14ac:dyDescent="0.45">
      <c r="A84" s="30" t="s">
        <v>31</v>
      </c>
      <c r="B84" s="25">
        <v>2</v>
      </c>
      <c r="C84" s="25">
        <v>1</v>
      </c>
      <c r="F84" s="25">
        <v>1</v>
      </c>
      <c r="G84" s="25">
        <v>1</v>
      </c>
      <c r="I84" s="25" t="s">
        <v>32</v>
      </c>
      <c r="J84" s="25">
        <v>3</v>
      </c>
      <c r="K84" s="25">
        <v>2</v>
      </c>
      <c r="M84" s="25">
        <v>1</v>
      </c>
      <c r="N84" s="25">
        <v>4</v>
      </c>
      <c r="P84" s="27" t="s">
        <v>33</v>
      </c>
      <c r="Q84" s="27">
        <v>2</v>
      </c>
      <c r="R84" s="27">
        <v>3</v>
      </c>
      <c r="Y84" s="25">
        <v>14</v>
      </c>
      <c r="Z84" s="25">
        <v>2.972</v>
      </c>
      <c r="AA84" s="28"/>
      <c r="AB84" s="28"/>
      <c r="AC84" s="25">
        <v>14</v>
      </c>
      <c r="AD84" s="25">
        <v>4.641</v>
      </c>
      <c r="AE84" s="28"/>
      <c r="AF84" s="28"/>
      <c r="AG84" s="25">
        <v>14</v>
      </c>
      <c r="AH84" s="25">
        <v>5.4009999999999998</v>
      </c>
      <c r="AI84" s="28"/>
      <c r="AJ84" s="28"/>
      <c r="AK84" s="25">
        <v>14</v>
      </c>
      <c r="AL84" s="25">
        <v>2.9060000000000001</v>
      </c>
      <c r="AM84" s="28"/>
      <c r="AN84" s="28"/>
      <c r="AO84" s="28"/>
      <c r="AP84" s="28"/>
    </row>
    <row r="85" spans="1:42" s="25" customFormat="1" ht="20.25" customHeight="1" x14ac:dyDescent="0.45">
      <c r="A85" s="26"/>
      <c r="B85" s="25">
        <v>3</v>
      </c>
      <c r="C85" s="25">
        <v>2</v>
      </c>
      <c r="F85" s="25">
        <v>1</v>
      </c>
      <c r="G85" s="25">
        <v>4</v>
      </c>
      <c r="J85" s="25">
        <v>1</v>
      </c>
      <c r="K85" s="25">
        <v>1</v>
      </c>
      <c r="M85" s="25">
        <v>1</v>
      </c>
      <c r="N85" s="25">
        <v>2</v>
      </c>
      <c r="Q85" s="27">
        <v>2</v>
      </c>
      <c r="R85" s="27">
        <v>1</v>
      </c>
      <c r="Y85" s="25">
        <v>15</v>
      </c>
      <c r="Z85" s="25">
        <v>8.875</v>
      </c>
      <c r="AA85" s="25">
        <f>Z86/Z85</f>
        <v>0.55053521126760563</v>
      </c>
      <c r="AB85" s="28"/>
      <c r="AC85" s="25">
        <v>15</v>
      </c>
      <c r="AD85" s="25">
        <v>9.3290000000000006</v>
      </c>
      <c r="AE85" s="25">
        <f>AD86/AD85</f>
        <v>0.570264765784114</v>
      </c>
      <c r="AF85" s="28"/>
      <c r="AG85" s="25">
        <v>15</v>
      </c>
      <c r="AH85" s="25">
        <v>5.0199999999999996</v>
      </c>
      <c r="AI85" s="25">
        <f>AH85/AH86</f>
        <v>0.89022876396524198</v>
      </c>
      <c r="AJ85" s="28"/>
      <c r="AK85" s="25">
        <v>15</v>
      </c>
      <c r="AL85" s="25">
        <v>13.391</v>
      </c>
      <c r="AM85" s="25">
        <f>AL86/AL85</f>
        <v>0.28496751549548205</v>
      </c>
      <c r="AN85" s="28"/>
      <c r="AO85" s="28"/>
      <c r="AP85" s="28"/>
    </row>
    <row r="86" spans="1:42" s="25" customFormat="1" ht="20.25" customHeight="1" x14ac:dyDescent="0.45">
      <c r="A86" s="26"/>
      <c r="B86" s="25">
        <v>3</v>
      </c>
      <c r="C86" s="25">
        <v>1</v>
      </c>
      <c r="F86" s="25">
        <v>0</v>
      </c>
      <c r="G86" s="25">
        <v>4</v>
      </c>
      <c r="J86" s="25">
        <v>5</v>
      </c>
      <c r="K86" s="25">
        <v>0</v>
      </c>
      <c r="M86" s="25">
        <v>0</v>
      </c>
      <c r="N86" s="25">
        <v>2</v>
      </c>
      <c r="Q86" s="27">
        <v>3</v>
      </c>
      <c r="R86" s="27">
        <v>1</v>
      </c>
      <c r="Y86" s="25">
        <v>16</v>
      </c>
      <c r="Z86" s="25">
        <v>4.8860000000000001</v>
      </c>
      <c r="AA86" s="28"/>
      <c r="AB86" s="28"/>
      <c r="AC86" s="25">
        <v>16</v>
      </c>
      <c r="AD86" s="25">
        <v>5.32</v>
      </c>
      <c r="AE86" s="28"/>
      <c r="AF86" s="28"/>
      <c r="AG86" s="25">
        <v>16</v>
      </c>
      <c r="AH86" s="25">
        <v>5.6390000000000002</v>
      </c>
      <c r="AI86" s="28"/>
      <c r="AJ86" s="28"/>
      <c r="AK86" s="25">
        <v>16</v>
      </c>
      <c r="AL86" s="25">
        <v>3.8159999999999998</v>
      </c>
      <c r="AM86" s="28"/>
      <c r="AN86" s="28"/>
      <c r="AO86" s="28"/>
      <c r="AP86" s="28"/>
    </row>
    <row r="87" spans="1:42" s="25" customFormat="1" ht="20.25" customHeight="1" x14ac:dyDescent="0.45">
      <c r="A87" s="26"/>
      <c r="B87" s="25">
        <v>1</v>
      </c>
      <c r="C87" s="25">
        <v>3</v>
      </c>
      <c r="F87" s="25">
        <v>0</v>
      </c>
      <c r="G87" s="25">
        <v>2</v>
      </c>
      <c r="J87" s="25">
        <v>1</v>
      </c>
      <c r="K87" s="25">
        <v>3</v>
      </c>
      <c r="M87" s="25">
        <v>2</v>
      </c>
      <c r="N87" s="25">
        <v>1</v>
      </c>
      <c r="Q87" s="27">
        <v>3</v>
      </c>
      <c r="R87" s="27">
        <v>1</v>
      </c>
      <c r="Y87" s="25">
        <v>17</v>
      </c>
      <c r="Z87" s="25">
        <v>4.7789999999999999</v>
      </c>
      <c r="AA87" s="25">
        <f>Z88/Z87</f>
        <v>1</v>
      </c>
      <c r="AB87" s="28"/>
      <c r="AC87" s="25">
        <v>17</v>
      </c>
      <c r="AD87" s="25">
        <v>8.0950000000000006</v>
      </c>
      <c r="AE87" s="25">
        <f>AD88/AD87</f>
        <v>0.92340951204447175</v>
      </c>
      <c r="AF87" s="28"/>
      <c r="AG87" s="25">
        <v>17</v>
      </c>
      <c r="AH87" s="25">
        <v>11.154999999999999</v>
      </c>
      <c r="AI87" s="25">
        <f>AH88/AH87</f>
        <v>0.30291349170775439</v>
      </c>
      <c r="AJ87" s="28"/>
      <c r="AK87" s="25">
        <v>17</v>
      </c>
      <c r="AL87" s="25">
        <v>8.3780000000000001</v>
      </c>
      <c r="AM87" s="25">
        <f>AL88/AL87</f>
        <v>0.63069945094294577</v>
      </c>
      <c r="AN87" s="28"/>
      <c r="AO87" s="28"/>
      <c r="AP87" s="28"/>
    </row>
    <row r="88" spans="1:42" s="25" customFormat="1" ht="20.25" customHeight="1" x14ac:dyDescent="0.45">
      <c r="A88" s="26"/>
      <c r="B88" s="25">
        <v>4</v>
      </c>
      <c r="C88" s="25">
        <v>2</v>
      </c>
      <c r="F88" s="25">
        <v>0</v>
      </c>
      <c r="G88" s="25">
        <v>2</v>
      </c>
      <c r="J88" s="25">
        <v>1</v>
      </c>
      <c r="K88" s="25">
        <v>5</v>
      </c>
      <c r="M88" s="25">
        <v>3</v>
      </c>
      <c r="N88" s="25">
        <v>3</v>
      </c>
      <c r="Q88" s="27">
        <v>4</v>
      </c>
      <c r="R88" s="27">
        <v>2</v>
      </c>
      <c r="Y88" s="25">
        <v>18</v>
      </c>
      <c r="Z88" s="25">
        <v>4.7789999999999999</v>
      </c>
      <c r="AA88" s="28"/>
      <c r="AB88" s="28"/>
      <c r="AC88" s="25">
        <v>18</v>
      </c>
      <c r="AD88" s="25">
        <v>7.4749999999999996</v>
      </c>
      <c r="AE88" s="28"/>
      <c r="AF88" s="28"/>
      <c r="AG88" s="25">
        <v>18</v>
      </c>
      <c r="AH88" s="25">
        <v>3.379</v>
      </c>
      <c r="AI88" s="28"/>
      <c r="AJ88" s="28"/>
      <c r="AK88" s="25">
        <v>18</v>
      </c>
      <c r="AL88" s="25">
        <v>5.2839999999999998</v>
      </c>
      <c r="AM88" s="28"/>
      <c r="AN88" s="28"/>
      <c r="AO88" s="28"/>
      <c r="AP88" s="28"/>
    </row>
    <row r="89" spans="1:42" s="25" customFormat="1" ht="20.25" customHeight="1" x14ac:dyDescent="0.45">
      <c r="A89" s="26"/>
      <c r="B89" s="25">
        <v>3</v>
      </c>
      <c r="C89" s="25">
        <v>1</v>
      </c>
      <c r="F89" s="25">
        <v>0</v>
      </c>
      <c r="G89" s="25">
        <v>4</v>
      </c>
      <c r="J89" s="25">
        <v>3</v>
      </c>
      <c r="K89" s="25">
        <v>2</v>
      </c>
      <c r="M89" s="25">
        <v>1</v>
      </c>
      <c r="N89" s="25">
        <v>3</v>
      </c>
      <c r="Q89" s="27">
        <v>4</v>
      </c>
      <c r="R89" s="27">
        <v>1</v>
      </c>
      <c r="Y89" s="25">
        <v>19</v>
      </c>
      <c r="Z89" s="25">
        <v>7.2770000000000001</v>
      </c>
      <c r="AA89" s="25">
        <f>Z90/Z89</f>
        <v>0.74385048783839491</v>
      </c>
      <c r="AB89" s="28"/>
      <c r="AC89" s="25">
        <v>19</v>
      </c>
      <c r="AD89" s="25">
        <v>7.5010000000000003</v>
      </c>
      <c r="AE89" s="25">
        <f>AD90/AD89</f>
        <v>0.49033462205039324</v>
      </c>
      <c r="AF89" s="28"/>
      <c r="AG89" s="25">
        <v>19</v>
      </c>
      <c r="AH89" s="25">
        <v>5.0199999999999996</v>
      </c>
      <c r="AI89" s="25">
        <f>AH89/AH90</f>
        <v>0.73284671532846712</v>
      </c>
      <c r="AJ89" s="28"/>
      <c r="AK89" s="25">
        <v>19</v>
      </c>
      <c r="AL89" s="25">
        <v>7.4749999999999996</v>
      </c>
      <c r="AM89" s="25">
        <f>AL90/AL89</f>
        <v>0.55531772575250837</v>
      </c>
      <c r="AN89" s="28"/>
      <c r="AO89" s="28"/>
      <c r="AP89" s="28"/>
    </row>
    <row r="90" spans="1:42" s="25" customFormat="1" ht="20.25" customHeight="1" x14ac:dyDescent="0.45">
      <c r="A90" s="26"/>
      <c r="B90" s="25">
        <v>4</v>
      </c>
      <c r="C90" s="25">
        <v>1</v>
      </c>
      <c r="F90" s="25">
        <v>1</v>
      </c>
      <c r="G90" s="25">
        <v>4</v>
      </c>
      <c r="J90" s="25">
        <v>1</v>
      </c>
      <c r="K90" s="25">
        <v>2</v>
      </c>
      <c r="M90" s="25">
        <v>2</v>
      </c>
      <c r="N90" s="25">
        <v>2</v>
      </c>
      <c r="Q90" s="27">
        <v>2</v>
      </c>
      <c r="R90" s="27">
        <v>1</v>
      </c>
      <c r="Y90" s="25">
        <v>20</v>
      </c>
      <c r="Z90" s="25">
        <v>5.4130000000000003</v>
      </c>
      <c r="AA90" s="28"/>
      <c r="AB90" s="28"/>
      <c r="AC90" s="25">
        <v>20</v>
      </c>
      <c r="AD90" s="25">
        <v>3.6779999999999999</v>
      </c>
      <c r="AE90" s="28"/>
      <c r="AF90" s="28"/>
      <c r="AG90" s="25">
        <v>20</v>
      </c>
      <c r="AH90" s="25">
        <v>6.85</v>
      </c>
      <c r="AI90" s="28"/>
      <c r="AJ90" s="28"/>
      <c r="AK90" s="25">
        <v>20</v>
      </c>
      <c r="AL90" s="25">
        <v>4.1509999999999998</v>
      </c>
      <c r="AM90" s="28"/>
      <c r="AN90" s="28"/>
      <c r="AO90" s="28"/>
      <c r="AP90" s="28"/>
    </row>
    <row r="91" spans="1:42" s="25" customFormat="1" ht="20.25" customHeight="1" x14ac:dyDescent="0.45">
      <c r="A91" s="26"/>
      <c r="B91" s="25">
        <v>2</v>
      </c>
      <c r="C91" s="25">
        <v>2</v>
      </c>
      <c r="F91" s="25">
        <v>0</v>
      </c>
      <c r="G91" s="25">
        <v>2</v>
      </c>
      <c r="J91" s="25">
        <v>0</v>
      </c>
      <c r="K91" s="25">
        <v>5</v>
      </c>
      <c r="M91" s="25">
        <v>2</v>
      </c>
      <c r="N91" s="25">
        <v>2</v>
      </c>
      <c r="Q91" s="27">
        <v>1</v>
      </c>
      <c r="R91" s="27">
        <v>2</v>
      </c>
      <c r="Y91" s="25" t="s">
        <v>17</v>
      </c>
      <c r="AA91" s="25">
        <f>SUM(AA71:AA90)</f>
        <v>6.8250312561119015</v>
      </c>
      <c r="AE91" s="25">
        <f>SUM(AE71:AE90)</f>
        <v>6.4073542977522742</v>
      </c>
      <c r="AI91" s="25">
        <f>SUM(AI71:AI90)</f>
        <v>6.1097403725543442</v>
      </c>
      <c r="AM91" s="25">
        <f>SUM(AM71:AM90)</f>
        <v>5.1039735169348486</v>
      </c>
    </row>
    <row r="92" spans="1:42" s="25" customFormat="1" ht="20.25" customHeight="1" x14ac:dyDescent="0.45">
      <c r="A92" s="26"/>
      <c r="B92" s="25">
        <v>3</v>
      </c>
      <c r="C92" s="25">
        <v>1</v>
      </c>
      <c r="F92" s="25">
        <v>0</v>
      </c>
      <c r="G92" s="25">
        <v>4</v>
      </c>
      <c r="J92" s="25">
        <v>2</v>
      </c>
      <c r="K92" s="25">
        <v>3</v>
      </c>
      <c r="M92" s="25">
        <v>0</v>
      </c>
      <c r="N92" s="25">
        <v>4</v>
      </c>
      <c r="Q92" s="27">
        <v>4</v>
      </c>
      <c r="R92" s="27">
        <v>2</v>
      </c>
    </row>
    <row r="93" spans="1:42" s="25" customFormat="1" ht="20.25" customHeight="1" x14ac:dyDescent="0.45">
      <c r="A93" s="26"/>
      <c r="B93" s="25">
        <v>3</v>
      </c>
      <c r="C93" s="25">
        <v>0</v>
      </c>
      <c r="F93" s="25">
        <v>0</v>
      </c>
      <c r="G93" s="25">
        <v>3</v>
      </c>
      <c r="J93" s="25">
        <v>2</v>
      </c>
      <c r="K93" s="25">
        <v>3</v>
      </c>
      <c r="M93" s="25">
        <v>1</v>
      </c>
      <c r="N93" s="25">
        <v>2</v>
      </c>
      <c r="Q93" s="27">
        <v>1</v>
      </c>
      <c r="R93" s="27">
        <v>3</v>
      </c>
      <c r="Y93" s="25" t="s">
        <v>28</v>
      </c>
      <c r="AG93" s="25" t="s">
        <v>29</v>
      </c>
    </row>
    <row r="94" spans="1:42" s="25" customFormat="1" ht="20.25" customHeight="1" x14ac:dyDescent="0.45">
      <c r="A94" s="30" t="s">
        <v>17</v>
      </c>
      <c r="B94" s="25">
        <f>B84+B85+B86+B87+B88+B89+B90+B91+B92+B93</f>
        <v>28</v>
      </c>
      <c r="C94" s="25">
        <f>C84+C85+C86+C87+C88+C89+C90+C91+C92+C93</f>
        <v>14</v>
      </c>
      <c r="F94" s="25">
        <f>F84+F85+F86+F87+F88+F89+F90+F91+F92+F93</f>
        <v>3</v>
      </c>
      <c r="G94" s="25">
        <f>G84+G85+G86+G87+G88+G89+G90+G91+G92+G93</f>
        <v>30</v>
      </c>
      <c r="J94" s="25">
        <f>SUM(J84:J93)</f>
        <v>19</v>
      </c>
      <c r="K94" s="25">
        <f>SUM(K84:K93)</f>
        <v>26</v>
      </c>
      <c r="M94" s="25">
        <f>SUM(M84:M93)</f>
        <v>13</v>
      </c>
      <c r="N94" s="25">
        <f>SUM(N84:N93)</f>
        <v>25</v>
      </c>
      <c r="Q94" s="25">
        <f>Q84+Q85+Q86+Q87+Q88+Q89+Q90+Q91+Q92+Q93</f>
        <v>26</v>
      </c>
      <c r="R94" s="25">
        <f>R84+R85+R86+R87+R88+R89+R90+R91+R92+R93</f>
        <v>17</v>
      </c>
      <c r="Y94" s="25">
        <v>1</v>
      </c>
      <c r="Z94" s="25">
        <v>8.5730000000000004</v>
      </c>
      <c r="AA94" s="25">
        <f>Z95/Z94</f>
        <v>0.73521521054473338</v>
      </c>
      <c r="AB94" s="28"/>
      <c r="AC94" s="25">
        <v>1</v>
      </c>
      <c r="AD94" s="25">
        <v>7.06</v>
      </c>
      <c r="AE94" s="25">
        <f>AD95/AD94</f>
        <v>0.62025495750708215</v>
      </c>
      <c r="AF94" s="28"/>
      <c r="AG94" s="25">
        <v>1</v>
      </c>
      <c r="AH94" s="25">
        <v>6.8090000000000002</v>
      </c>
      <c r="AI94" s="25">
        <f>AH95/AH94</f>
        <v>0.4532236745483918</v>
      </c>
      <c r="AJ94" s="28"/>
      <c r="AK94" s="25">
        <v>1</v>
      </c>
      <c r="AL94" s="25">
        <v>5.48</v>
      </c>
      <c r="AM94" s="25">
        <f>AL95/AL94</f>
        <v>0.64288321167883211</v>
      </c>
      <c r="AN94" s="28"/>
      <c r="AO94" s="28"/>
      <c r="AP94" s="28"/>
    </row>
    <row r="95" spans="1:42" s="25" customFormat="1" ht="20.25" customHeight="1" x14ac:dyDescent="0.45">
      <c r="A95" s="30" t="s">
        <v>10</v>
      </c>
      <c r="B95" s="25" t="s">
        <v>15</v>
      </c>
      <c r="C95" s="25" t="s">
        <v>16</v>
      </c>
      <c r="E95" s="25" t="s">
        <v>8</v>
      </c>
      <c r="F95" s="25" t="s">
        <v>15</v>
      </c>
      <c r="G95" s="25" t="s">
        <v>16</v>
      </c>
      <c r="I95" s="25" t="s">
        <v>10</v>
      </c>
      <c r="J95" s="25" t="s">
        <v>15</v>
      </c>
      <c r="K95" s="25" t="s">
        <v>16</v>
      </c>
      <c r="L95" s="25" t="s">
        <v>8</v>
      </c>
      <c r="M95" s="25" t="s">
        <v>15</v>
      </c>
      <c r="N95" s="25" t="s">
        <v>16</v>
      </c>
      <c r="Y95" s="25">
        <v>2</v>
      </c>
      <c r="Z95" s="25">
        <v>6.3029999999999999</v>
      </c>
      <c r="AA95" s="28"/>
      <c r="AB95" s="28"/>
      <c r="AC95" s="25">
        <v>2</v>
      </c>
      <c r="AD95" s="25">
        <v>4.3789999999999996</v>
      </c>
      <c r="AE95" s="28"/>
      <c r="AF95" s="28"/>
      <c r="AG95" s="25">
        <v>2</v>
      </c>
      <c r="AH95" s="25">
        <v>3.0859999999999999</v>
      </c>
      <c r="AI95" s="28"/>
      <c r="AJ95" s="28"/>
      <c r="AK95" s="25">
        <v>2</v>
      </c>
      <c r="AL95" s="25">
        <v>3.5230000000000001</v>
      </c>
      <c r="AM95" s="28"/>
      <c r="AN95" s="28"/>
      <c r="AO95" s="28"/>
      <c r="AP95" s="28"/>
    </row>
    <row r="96" spans="1:42" s="25" customFormat="1" ht="20.25" customHeight="1" x14ac:dyDescent="0.45">
      <c r="A96" s="30" t="s">
        <v>34</v>
      </c>
      <c r="B96" s="25">
        <v>3</v>
      </c>
      <c r="C96" s="25">
        <v>1</v>
      </c>
      <c r="F96" s="25">
        <v>3</v>
      </c>
      <c r="G96" s="25">
        <v>2</v>
      </c>
      <c r="I96" s="25" t="s">
        <v>35</v>
      </c>
      <c r="J96" s="25">
        <v>3</v>
      </c>
      <c r="K96" s="25">
        <v>1</v>
      </c>
      <c r="M96" s="25">
        <v>1</v>
      </c>
      <c r="N96" s="25">
        <v>6</v>
      </c>
      <c r="Y96" s="25">
        <v>3</v>
      </c>
      <c r="Z96" s="25">
        <v>8.9930000000000003</v>
      </c>
      <c r="AA96" s="25">
        <f>Z97/Z96</f>
        <v>0.62782163905259647</v>
      </c>
      <c r="AB96" s="28"/>
      <c r="AC96" s="25">
        <v>3</v>
      </c>
      <c r="AD96" s="25">
        <v>5.8710000000000004</v>
      </c>
      <c r="AE96" s="25">
        <f>AD97/AD96</f>
        <v>0.629535002554931</v>
      </c>
      <c r="AF96" s="28"/>
      <c r="AG96" s="25">
        <v>3</v>
      </c>
      <c r="AH96" s="25">
        <v>12.148</v>
      </c>
      <c r="AI96" s="25">
        <f>AH97/AH96</f>
        <v>0.36326967402041493</v>
      </c>
      <c r="AJ96" s="28"/>
      <c r="AK96" s="25">
        <v>3</v>
      </c>
      <c r="AL96" s="25">
        <v>8.6379999999999999</v>
      </c>
      <c r="AM96" s="25">
        <f>AL97/AL96</f>
        <v>0.5269738365362352</v>
      </c>
      <c r="AN96" s="28"/>
      <c r="AO96" s="28"/>
      <c r="AP96" s="28"/>
    </row>
    <row r="97" spans="1:42" s="25" customFormat="1" ht="20.25" customHeight="1" x14ac:dyDescent="0.45">
      <c r="A97" s="26"/>
      <c r="B97" s="25">
        <v>5</v>
      </c>
      <c r="C97" s="25">
        <v>1</v>
      </c>
      <c r="F97" s="25">
        <v>2</v>
      </c>
      <c r="G97" s="25">
        <v>3</v>
      </c>
      <c r="J97" s="25">
        <v>4</v>
      </c>
      <c r="K97" s="25">
        <v>0</v>
      </c>
      <c r="M97" s="25">
        <v>0</v>
      </c>
      <c r="N97" s="25">
        <v>5</v>
      </c>
      <c r="Y97" s="25">
        <v>4</v>
      </c>
      <c r="Z97" s="25">
        <v>5.6459999999999999</v>
      </c>
      <c r="AA97" s="28"/>
      <c r="AB97" s="28"/>
      <c r="AC97" s="25">
        <v>4</v>
      </c>
      <c r="AD97" s="25">
        <v>3.6960000000000002</v>
      </c>
      <c r="AE97" s="28"/>
      <c r="AF97" s="28"/>
      <c r="AG97" s="25">
        <v>4</v>
      </c>
      <c r="AH97" s="25">
        <v>4.4130000000000003</v>
      </c>
      <c r="AI97" s="28"/>
      <c r="AJ97" s="28"/>
      <c r="AK97" s="25">
        <v>4</v>
      </c>
      <c r="AL97" s="25">
        <v>4.5519999999999996</v>
      </c>
      <c r="AM97" s="28"/>
      <c r="AN97" s="28"/>
      <c r="AO97" s="28"/>
      <c r="AP97" s="28"/>
    </row>
    <row r="98" spans="1:42" s="25" customFormat="1" ht="20.25" customHeight="1" x14ac:dyDescent="0.45">
      <c r="A98" s="26"/>
      <c r="B98" s="25">
        <v>3</v>
      </c>
      <c r="C98" s="25">
        <v>2</v>
      </c>
      <c r="F98" s="25">
        <v>0</v>
      </c>
      <c r="G98" s="25">
        <v>4</v>
      </c>
      <c r="J98" s="25">
        <v>4</v>
      </c>
      <c r="K98" s="25">
        <v>2</v>
      </c>
      <c r="M98" s="25">
        <v>1</v>
      </c>
      <c r="N98" s="25">
        <v>3</v>
      </c>
      <c r="Y98" s="25">
        <v>5</v>
      </c>
      <c r="Z98" s="25">
        <v>6.8090000000000002</v>
      </c>
      <c r="AA98" s="25">
        <f>Z99/Z98</f>
        <v>0.63430753414598329</v>
      </c>
      <c r="AB98" s="28"/>
      <c r="AC98" s="25">
        <v>5</v>
      </c>
      <c r="AD98" s="25">
        <v>9.8870000000000005</v>
      </c>
      <c r="AE98" s="25">
        <f>AD99/AD98</f>
        <v>0.40760594720339843</v>
      </c>
      <c r="AF98" s="28"/>
      <c r="AG98" s="25">
        <v>5</v>
      </c>
      <c r="AH98" s="25">
        <v>9.1189999999999998</v>
      </c>
      <c r="AI98" s="25">
        <f>AH99/AH98</f>
        <v>0.61245750630551599</v>
      </c>
      <c r="AJ98" s="28"/>
      <c r="AK98" s="25">
        <v>5</v>
      </c>
      <c r="AL98" s="25">
        <v>4.5519999999999996</v>
      </c>
      <c r="AM98" s="25">
        <f>AL98/AL99</f>
        <v>0.96727581810454721</v>
      </c>
      <c r="AN98" s="28"/>
      <c r="AO98" s="28"/>
      <c r="AP98" s="28"/>
    </row>
    <row r="99" spans="1:42" s="25" customFormat="1" ht="20.25" customHeight="1" x14ac:dyDescent="0.45">
      <c r="A99" s="26"/>
      <c r="B99" s="25">
        <v>3</v>
      </c>
      <c r="C99" s="25">
        <v>1</v>
      </c>
      <c r="F99" s="25">
        <v>0</v>
      </c>
      <c r="G99" s="25">
        <v>2</v>
      </c>
      <c r="J99" s="25">
        <v>4</v>
      </c>
      <c r="K99" s="25">
        <v>2</v>
      </c>
      <c r="M99" s="25">
        <v>0</v>
      </c>
      <c r="N99" s="25">
        <v>3</v>
      </c>
      <c r="Y99" s="25">
        <v>6</v>
      </c>
      <c r="Z99" s="25">
        <v>4.319</v>
      </c>
      <c r="AA99" s="28"/>
      <c r="AB99" s="28"/>
      <c r="AC99" s="25">
        <v>6</v>
      </c>
      <c r="AD99" s="25">
        <v>4.03</v>
      </c>
      <c r="AE99" s="28"/>
      <c r="AF99" s="28"/>
      <c r="AG99" s="25">
        <v>6</v>
      </c>
      <c r="AH99" s="25">
        <v>5.585</v>
      </c>
      <c r="AI99" s="28"/>
      <c r="AJ99" s="28"/>
      <c r="AK99" s="25">
        <v>6</v>
      </c>
      <c r="AL99" s="25">
        <v>4.7060000000000004</v>
      </c>
      <c r="AM99" s="28"/>
      <c r="AN99" s="28"/>
      <c r="AO99" s="28"/>
      <c r="AP99" s="28"/>
    </row>
    <row r="100" spans="1:42" s="25" customFormat="1" ht="20.25" customHeight="1" x14ac:dyDescent="0.45">
      <c r="A100" s="26"/>
      <c r="B100" s="25">
        <v>0</v>
      </c>
      <c r="C100" s="25">
        <v>3</v>
      </c>
      <c r="F100" s="25">
        <v>2</v>
      </c>
      <c r="G100" s="25">
        <v>3</v>
      </c>
      <c r="J100" s="25">
        <v>0</v>
      </c>
      <c r="K100" s="25">
        <v>2</v>
      </c>
      <c r="M100" s="25">
        <v>1</v>
      </c>
      <c r="N100" s="25">
        <v>3</v>
      </c>
      <c r="Y100" s="25">
        <v>7</v>
      </c>
      <c r="Z100" s="25">
        <v>8.8260000000000005</v>
      </c>
      <c r="AA100" s="25">
        <f>Z101/Z100</f>
        <v>0.53319737140267398</v>
      </c>
      <c r="AB100" s="28"/>
      <c r="AC100" s="25">
        <v>7</v>
      </c>
      <c r="AD100" s="25">
        <v>6.758</v>
      </c>
      <c r="AE100" s="25">
        <f>AD101/AD100</f>
        <v>0.61423498076353944</v>
      </c>
      <c r="AF100" s="28"/>
      <c r="AG100" s="25">
        <v>7</v>
      </c>
      <c r="AH100" s="25">
        <v>9.4689999999999994</v>
      </c>
      <c r="AI100" s="25">
        <f>AH101/AH100</f>
        <v>0.6391382405745063</v>
      </c>
      <c r="AJ100" s="28"/>
      <c r="AK100" s="25">
        <v>7</v>
      </c>
      <c r="AL100" s="25">
        <v>6.7510000000000003</v>
      </c>
      <c r="AM100" s="25">
        <f>AL101/AL100</f>
        <v>0.65368093615760625</v>
      </c>
      <c r="AN100" s="28"/>
      <c r="AO100" s="28"/>
      <c r="AP100" s="28"/>
    </row>
    <row r="101" spans="1:42" s="25" customFormat="1" ht="20.25" customHeight="1" x14ac:dyDescent="0.45">
      <c r="A101" s="26"/>
      <c r="B101" s="25">
        <v>3</v>
      </c>
      <c r="C101" s="25">
        <v>4</v>
      </c>
      <c r="F101" s="25">
        <v>0</v>
      </c>
      <c r="G101" s="25">
        <v>5</v>
      </c>
      <c r="J101" s="25">
        <v>2</v>
      </c>
      <c r="K101" s="25">
        <v>2</v>
      </c>
      <c r="M101" s="25">
        <v>0</v>
      </c>
      <c r="N101" s="25">
        <v>2</v>
      </c>
      <c r="Y101" s="25">
        <v>8</v>
      </c>
      <c r="Z101" s="25">
        <v>4.7060000000000004</v>
      </c>
      <c r="AA101" s="28"/>
      <c r="AB101" s="28"/>
      <c r="AC101" s="25">
        <v>8</v>
      </c>
      <c r="AD101" s="25">
        <v>4.1509999999999998</v>
      </c>
      <c r="AE101" s="28"/>
      <c r="AF101" s="28"/>
      <c r="AG101" s="25">
        <v>8</v>
      </c>
      <c r="AH101" s="25">
        <v>6.0519999999999996</v>
      </c>
      <c r="AI101" s="28"/>
      <c r="AJ101" s="28"/>
      <c r="AK101" s="25">
        <v>8</v>
      </c>
      <c r="AL101" s="25">
        <v>4.4130000000000003</v>
      </c>
      <c r="AM101" s="28"/>
      <c r="AN101" s="28"/>
      <c r="AO101" s="28"/>
      <c r="AP101" s="28"/>
    </row>
    <row r="102" spans="1:42" s="25" customFormat="1" ht="20.25" customHeight="1" x14ac:dyDescent="0.45">
      <c r="A102" s="26"/>
      <c r="B102" s="25">
        <v>2</v>
      </c>
      <c r="C102" s="25">
        <v>1</v>
      </c>
      <c r="F102" s="25">
        <v>2</v>
      </c>
      <c r="G102" s="25">
        <v>3</v>
      </c>
      <c r="J102" s="25">
        <v>2</v>
      </c>
      <c r="K102" s="25">
        <v>2</v>
      </c>
      <c r="M102" s="25">
        <v>0</v>
      </c>
      <c r="N102" s="25">
        <v>3</v>
      </c>
      <c r="Y102" s="25">
        <v>9</v>
      </c>
      <c r="Z102" s="25">
        <v>6.0620000000000003</v>
      </c>
      <c r="AA102" s="25">
        <f>Z103/Z102</f>
        <v>0.67535466842626202</v>
      </c>
      <c r="AB102" s="28"/>
      <c r="AC102" s="25">
        <v>9</v>
      </c>
      <c r="AD102" s="25">
        <v>6.0339999999999998</v>
      </c>
      <c r="AE102" s="25">
        <f>AD103/AD102</f>
        <v>0.83974146503148828</v>
      </c>
      <c r="AF102" s="28"/>
      <c r="AG102" s="25">
        <v>9</v>
      </c>
      <c r="AH102" s="25">
        <v>7.3390000000000004</v>
      </c>
      <c r="AI102" s="25">
        <f>AH103/AH102</f>
        <v>0.59667529636190209</v>
      </c>
      <c r="AJ102" s="28"/>
      <c r="AK102" s="25">
        <v>9</v>
      </c>
      <c r="AL102" s="25">
        <v>10.311999999999999</v>
      </c>
      <c r="AM102" s="25">
        <f>AL103/AL102</f>
        <v>0.20131885182311871</v>
      </c>
      <c r="AN102" s="28"/>
      <c r="AO102" s="28"/>
      <c r="AP102" s="28"/>
    </row>
    <row r="103" spans="1:42" s="25" customFormat="1" ht="20.25" customHeight="1" x14ac:dyDescent="0.45">
      <c r="A103" s="26"/>
      <c r="B103" s="25">
        <v>2</v>
      </c>
      <c r="C103" s="25">
        <v>2</v>
      </c>
      <c r="F103" s="25">
        <v>2</v>
      </c>
      <c r="G103" s="25">
        <v>3</v>
      </c>
      <c r="J103" s="25">
        <v>2</v>
      </c>
      <c r="K103" s="25">
        <v>2</v>
      </c>
      <c r="M103" s="25">
        <v>0</v>
      </c>
      <c r="N103" s="25">
        <v>2</v>
      </c>
      <c r="Y103" s="25">
        <v>10</v>
      </c>
      <c r="Z103" s="25">
        <v>4.0940000000000003</v>
      </c>
      <c r="AA103" s="28"/>
      <c r="AB103" s="28"/>
      <c r="AC103" s="25">
        <v>10</v>
      </c>
      <c r="AD103" s="25">
        <v>5.0670000000000002</v>
      </c>
      <c r="AE103" s="28"/>
      <c r="AF103" s="28"/>
      <c r="AG103" s="25">
        <v>10</v>
      </c>
      <c r="AH103" s="25">
        <v>4.3789999999999996</v>
      </c>
      <c r="AI103" s="28"/>
      <c r="AJ103" s="28"/>
      <c r="AK103" s="25">
        <v>10</v>
      </c>
      <c r="AL103" s="25">
        <v>2.0760000000000001</v>
      </c>
      <c r="AM103" s="28"/>
      <c r="AN103" s="28"/>
      <c r="AO103" s="28"/>
      <c r="AP103" s="28"/>
    </row>
    <row r="104" spans="1:42" s="25" customFormat="1" ht="20.25" customHeight="1" x14ac:dyDescent="0.45">
      <c r="A104" s="26"/>
      <c r="B104" s="25">
        <v>1</v>
      </c>
      <c r="C104" s="25">
        <v>4</v>
      </c>
      <c r="F104" s="25">
        <v>0</v>
      </c>
      <c r="G104" s="25">
        <v>3</v>
      </c>
      <c r="J104" s="25">
        <v>4</v>
      </c>
      <c r="K104" s="25">
        <v>1</v>
      </c>
      <c r="M104" s="25">
        <v>1</v>
      </c>
      <c r="N104" s="25">
        <v>4</v>
      </c>
      <c r="Y104" s="25">
        <v>11</v>
      </c>
      <c r="Z104" s="25">
        <v>5.944</v>
      </c>
      <c r="AA104" s="25">
        <f>Z105/Z104</f>
        <v>0.87298115746971738</v>
      </c>
      <c r="AB104" s="28"/>
      <c r="AC104" s="25">
        <v>11</v>
      </c>
      <c r="AD104" s="25">
        <v>6.1710000000000003</v>
      </c>
      <c r="AE104" s="25">
        <f>AD105/AD104</f>
        <v>0.79954626478690649</v>
      </c>
      <c r="AF104" s="28"/>
      <c r="AG104" s="25">
        <v>11</v>
      </c>
      <c r="AH104" s="25">
        <v>10.179</v>
      </c>
      <c r="AI104" s="25">
        <f>AH105/AH104</f>
        <v>0.38746438746438744</v>
      </c>
      <c r="AJ104" s="28"/>
      <c r="AK104" s="25">
        <v>11</v>
      </c>
      <c r="AL104" s="25">
        <v>7.7050000000000001</v>
      </c>
      <c r="AM104" s="25">
        <f>AL105/AL104</f>
        <v>0.48565866320571055</v>
      </c>
      <c r="AN104" s="28"/>
      <c r="AO104" s="28"/>
      <c r="AP104" s="28"/>
    </row>
    <row r="105" spans="1:42" s="25" customFormat="1" ht="20.25" customHeight="1" x14ac:dyDescent="0.45">
      <c r="A105" s="26"/>
      <c r="B105" s="25">
        <v>2</v>
      </c>
      <c r="C105" s="25">
        <v>1</v>
      </c>
      <c r="F105" s="25">
        <v>2</v>
      </c>
      <c r="G105" s="25">
        <v>1</v>
      </c>
      <c r="J105" s="25">
        <v>2</v>
      </c>
      <c r="K105" s="25">
        <v>3</v>
      </c>
      <c r="M105" s="25">
        <v>1</v>
      </c>
      <c r="N105" s="25">
        <v>4</v>
      </c>
      <c r="Y105" s="25">
        <v>12</v>
      </c>
      <c r="Z105" s="25">
        <v>5.1890000000000001</v>
      </c>
      <c r="AA105" s="28"/>
      <c r="AB105" s="28"/>
      <c r="AC105" s="25">
        <v>12</v>
      </c>
      <c r="AD105" s="25">
        <v>4.9340000000000002</v>
      </c>
      <c r="AE105" s="28"/>
      <c r="AF105" s="28"/>
      <c r="AG105" s="25">
        <v>12</v>
      </c>
      <c r="AH105" s="25">
        <v>3.944</v>
      </c>
      <c r="AI105" s="28"/>
      <c r="AJ105" s="28"/>
      <c r="AK105" s="25">
        <v>12</v>
      </c>
      <c r="AL105" s="25">
        <v>3.742</v>
      </c>
      <c r="AM105" s="28"/>
      <c r="AN105" s="28"/>
      <c r="AO105" s="28"/>
      <c r="AP105" s="28"/>
    </row>
    <row r="106" spans="1:42" s="25" customFormat="1" ht="20.25" customHeight="1" x14ac:dyDescent="0.45">
      <c r="A106" s="30" t="s">
        <v>17</v>
      </c>
      <c r="B106" s="25">
        <f>B96+B97+B98+B99+B100+B101+B102+B103+B104+B105</f>
        <v>24</v>
      </c>
      <c r="C106" s="25">
        <f>C96+C97+C98+C99+C100+C101+C102+C103+C104+C105</f>
        <v>20</v>
      </c>
      <c r="F106" s="25">
        <f>F96+F97+F98+F99+F100+F101+F102+F103+F104+F105</f>
        <v>13</v>
      </c>
      <c r="G106" s="25">
        <f>G96+G97+G98+G99+G100+G101+G102+G103+G104+G105</f>
        <v>29</v>
      </c>
      <c r="J106" s="25">
        <f>SUM(J96:J105)</f>
        <v>27</v>
      </c>
      <c r="K106" s="25">
        <f>SUM(K96:K105)</f>
        <v>17</v>
      </c>
      <c r="M106" s="25">
        <f>SUM(M96:M105)</f>
        <v>5</v>
      </c>
      <c r="N106" s="25">
        <f>SUM(N96:N105)</f>
        <v>35</v>
      </c>
      <c r="Y106" s="25">
        <v>13</v>
      </c>
      <c r="Z106" s="25">
        <v>11.239000000000001</v>
      </c>
      <c r="AA106" s="25">
        <f>Z107/Z106</f>
        <v>0.35136577987365419</v>
      </c>
      <c r="AB106" s="28"/>
      <c r="AC106" s="25">
        <v>13</v>
      </c>
      <c r="AD106" s="25">
        <v>4.7329999999999997</v>
      </c>
      <c r="AE106" s="25">
        <f>AD106/AD107</f>
        <v>0.73288943945493956</v>
      </c>
      <c r="AF106" s="28"/>
      <c r="AG106" s="25">
        <v>13</v>
      </c>
      <c r="AH106" s="25">
        <v>7.9470000000000001</v>
      </c>
      <c r="AI106" s="25">
        <f>AH107/AH106</f>
        <v>0.54913803951176543</v>
      </c>
      <c r="AJ106" s="28"/>
      <c r="AK106" s="25">
        <v>13</v>
      </c>
      <c r="AL106" s="25">
        <v>7.06</v>
      </c>
      <c r="AM106" s="25">
        <f>AL107/AL106</f>
        <v>0.35396600566572239</v>
      </c>
      <c r="AN106" s="28"/>
      <c r="AO106" s="28"/>
      <c r="AP106" s="28"/>
    </row>
    <row r="107" spans="1:42" s="25" customFormat="1" ht="20.25" customHeight="1" x14ac:dyDescent="0.45">
      <c r="A107" s="30" t="s">
        <v>36</v>
      </c>
      <c r="B107" s="28"/>
      <c r="C107" s="28"/>
      <c r="E107" s="28"/>
      <c r="F107" s="28"/>
      <c r="G107" s="28"/>
      <c r="I107" s="25" t="s">
        <v>10</v>
      </c>
      <c r="J107" s="25" t="s">
        <v>15</v>
      </c>
      <c r="K107" s="25" t="s">
        <v>16</v>
      </c>
      <c r="L107" s="25" t="s">
        <v>8</v>
      </c>
      <c r="M107" s="25" t="s">
        <v>15</v>
      </c>
      <c r="N107" s="25" t="s">
        <v>16</v>
      </c>
      <c r="Y107" s="25">
        <v>14</v>
      </c>
      <c r="Z107" s="25">
        <v>3.9489999999999998</v>
      </c>
      <c r="AA107" s="28"/>
      <c r="AB107" s="28"/>
      <c r="AC107" s="25">
        <v>14</v>
      </c>
      <c r="AD107" s="25">
        <v>6.4580000000000002</v>
      </c>
      <c r="AE107" s="28"/>
      <c r="AF107" s="28"/>
      <c r="AG107" s="25">
        <v>14</v>
      </c>
      <c r="AH107" s="25">
        <v>4.3639999999999999</v>
      </c>
      <c r="AI107" s="28"/>
      <c r="AJ107" s="28"/>
      <c r="AK107" s="25">
        <v>14</v>
      </c>
      <c r="AL107" s="25">
        <v>2.4990000000000001</v>
      </c>
      <c r="AM107" s="28"/>
      <c r="AN107" s="28"/>
      <c r="AO107" s="28"/>
      <c r="AP107" s="28"/>
    </row>
    <row r="108" spans="1:42" s="25" customFormat="1" ht="20.25" customHeight="1" x14ac:dyDescent="0.45">
      <c r="A108" s="30" t="s">
        <v>10</v>
      </c>
      <c r="B108" s="25" t="s">
        <v>15</v>
      </c>
      <c r="C108" s="25" t="s">
        <v>16</v>
      </c>
      <c r="E108" s="25" t="s">
        <v>8</v>
      </c>
      <c r="F108" s="25" t="s">
        <v>15</v>
      </c>
      <c r="G108" s="25" t="s">
        <v>16</v>
      </c>
      <c r="I108" s="25" t="s">
        <v>37</v>
      </c>
      <c r="J108" s="25">
        <v>0</v>
      </c>
      <c r="K108" s="25">
        <v>2</v>
      </c>
      <c r="M108" s="25">
        <v>1</v>
      </c>
      <c r="N108" s="25">
        <v>3</v>
      </c>
      <c r="Y108" s="25">
        <v>15</v>
      </c>
      <c r="Z108" s="25">
        <v>9.6669999999999998</v>
      </c>
      <c r="AA108" s="25">
        <f>Z109/Z108</f>
        <v>0.52291300299989651</v>
      </c>
      <c r="AB108" s="28"/>
      <c r="AC108" s="25">
        <v>15</v>
      </c>
      <c r="AD108" s="25">
        <v>11.742000000000001</v>
      </c>
      <c r="AE108" s="25">
        <f>AD109/AD108</f>
        <v>0.27499574178163855</v>
      </c>
      <c r="AF108" s="28"/>
      <c r="AG108" s="25">
        <v>15</v>
      </c>
      <c r="AH108" s="25">
        <v>5.4130000000000003</v>
      </c>
      <c r="AI108" s="25">
        <f>AH108/AH109</f>
        <v>0.89872156732525332</v>
      </c>
      <c r="AJ108" s="28"/>
      <c r="AK108" s="25">
        <v>15</v>
      </c>
      <c r="AL108" s="25">
        <v>7.3620000000000001</v>
      </c>
      <c r="AM108" s="25">
        <f>AL109/AL108</f>
        <v>0.50828579190437384</v>
      </c>
      <c r="AN108" s="28"/>
      <c r="AO108" s="28"/>
      <c r="AP108" s="28"/>
    </row>
    <row r="109" spans="1:42" s="25" customFormat="1" ht="20.25" customHeight="1" x14ac:dyDescent="0.45">
      <c r="A109" s="26"/>
      <c r="B109" s="25">
        <v>3</v>
      </c>
      <c r="C109" s="25">
        <v>0</v>
      </c>
      <c r="F109" s="25">
        <v>1</v>
      </c>
      <c r="G109" s="25">
        <v>2</v>
      </c>
      <c r="J109" s="25">
        <v>1</v>
      </c>
      <c r="K109" s="25">
        <v>3</v>
      </c>
      <c r="M109" s="25">
        <v>1</v>
      </c>
      <c r="N109" s="25">
        <v>4</v>
      </c>
      <c r="Y109" s="25">
        <v>16</v>
      </c>
      <c r="Z109" s="25">
        <v>5.0549999999999997</v>
      </c>
      <c r="AA109" s="28"/>
      <c r="AB109" s="28"/>
      <c r="AC109" s="25">
        <v>16</v>
      </c>
      <c r="AD109" s="25">
        <v>3.2290000000000001</v>
      </c>
      <c r="AE109" s="28"/>
      <c r="AF109" s="28"/>
      <c r="AG109" s="25">
        <v>16</v>
      </c>
      <c r="AH109" s="25">
        <v>6.0229999999999997</v>
      </c>
      <c r="AI109" s="28"/>
      <c r="AJ109" s="28"/>
      <c r="AK109" s="25">
        <v>16</v>
      </c>
      <c r="AL109" s="25">
        <v>3.742</v>
      </c>
      <c r="AM109" s="28"/>
      <c r="AN109" s="28"/>
      <c r="AO109" s="28"/>
      <c r="AP109" s="28"/>
    </row>
    <row r="110" spans="1:42" s="25" customFormat="1" ht="20.25" customHeight="1" x14ac:dyDescent="0.45">
      <c r="A110" s="26"/>
      <c r="B110" s="25">
        <v>0</v>
      </c>
      <c r="C110" s="25">
        <v>4</v>
      </c>
      <c r="F110" s="25">
        <v>0</v>
      </c>
      <c r="G110" s="25">
        <v>4</v>
      </c>
      <c r="J110" s="25">
        <v>1</v>
      </c>
      <c r="K110" s="25">
        <v>2</v>
      </c>
      <c r="M110" s="25">
        <v>1</v>
      </c>
      <c r="N110" s="25">
        <v>2</v>
      </c>
      <c r="Y110" s="25">
        <v>17</v>
      </c>
      <c r="Z110" s="25">
        <v>7.78</v>
      </c>
      <c r="AA110" s="25">
        <f>Z111/Z110</f>
        <v>0.65411311053984578</v>
      </c>
      <c r="AB110" s="28"/>
      <c r="AC110" s="25">
        <v>17</v>
      </c>
      <c r="AD110" s="25">
        <v>9.7910000000000004</v>
      </c>
      <c r="AE110" s="25">
        <f>AD111/AD110</f>
        <v>0.32080482075375344</v>
      </c>
      <c r="AF110" s="28"/>
      <c r="AG110" s="25">
        <v>17</v>
      </c>
      <c r="AH110" s="25">
        <v>6.2270000000000003</v>
      </c>
      <c r="AI110" s="25">
        <f>AH110/AH111</f>
        <v>0.96722584653619148</v>
      </c>
      <c r="AJ110" s="28"/>
      <c r="AK110" s="25">
        <v>17</v>
      </c>
      <c r="AL110" s="25">
        <v>9.6560000000000006</v>
      </c>
      <c r="AM110" s="25">
        <f>AL111/AL110</f>
        <v>0.21499585749792874</v>
      </c>
      <c r="AN110" s="28"/>
      <c r="AO110" s="28"/>
      <c r="AP110" s="28"/>
    </row>
    <row r="111" spans="1:42" s="25" customFormat="1" ht="20.25" customHeight="1" x14ac:dyDescent="0.45">
      <c r="A111" s="26"/>
      <c r="B111" s="25">
        <v>1</v>
      </c>
      <c r="C111" s="25">
        <v>2</v>
      </c>
      <c r="F111" s="25">
        <v>0</v>
      </c>
      <c r="G111" s="25">
        <v>4</v>
      </c>
      <c r="J111" s="25">
        <v>3</v>
      </c>
      <c r="K111" s="25">
        <v>1</v>
      </c>
      <c r="M111" s="25">
        <v>2</v>
      </c>
      <c r="N111" s="25">
        <v>3</v>
      </c>
      <c r="Y111" s="25">
        <v>18</v>
      </c>
      <c r="Z111" s="25">
        <v>5.0890000000000004</v>
      </c>
      <c r="AA111" s="28"/>
      <c r="AB111" s="28"/>
      <c r="AC111" s="25">
        <v>18</v>
      </c>
      <c r="AD111" s="25">
        <v>3.141</v>
      </c>
      <c r="AE111" s="28"/>
      <c r="AF111" s="28"/>
      <c r="AG111" s="25">
        <v>18</v>
      </c>
      <c r="AH111" s="25">
        <v>6.4379999999999997</v>
      </c>
      <c r="AI111" s="28"/>
      <c r="AJ111" s="28"/>
      <c r="AK111" s="25">
        <v>18</v>
      </c>
      <c r="AL111" s="25">
        <v>2.0760000000000001</v>
      </c>
      <c r="AM111" s="28"/>
      <c r="AN111" s="28"/>
      <c r="AO111" s="28"/>
      <c r="AP111" s="28"/>
    </row>
    <row r="112" spans="1:42" s="25" customFormat="1" ht="20.25" customHeight="1" x14ac:dyDescent="0.45">
      <c r="A112" s="26"/>
      <c r="B112" s="25">
        <v>3</v>
      </c>
      <c r="C112" s="25">
        <v>1</v>
      </c>
      <c r="F112" s="25">
        <v>0</v>
      </c>
      <c r="G112" s="25">
        <v>4</v>
      </c>
      <c r="J112" s="25">
        <v>4</v>
      </c>
      <c r="K112" s="25">
        <v>1</v>
      </c>
      <c r="M112" s="25">
        <v>0</v>
      </c>
      <c r="N112" s="25">
        <v>3</v>
      </c>
      <c r="Y112" s="25">
        <v>19</v>
      </c>
      <c r="Z112" s="25">
        <v>7.25</v>
      </c>
      <c r="AA112" s="25">
        <f>Z113/Z112</f>
        <v>0.74441379310344835</v>
      </c>
      <c r="AB112" s="28"/>
      <c r="AC112" s="25">
        <v>19</v>
      </c>
      <c r="AD112" s="25">
        <v>11.112</v>
      </c>
      <c r="AE112" s="25">
        <f>AD113/AD112</f>
        <v>0.28455723542116629</v>
      </c>
      <c r="AF112" s="28"/>
      <c r="AG112" s="25">
        <v>19</v>
      </c>
      <c r="AH112" s="25">
        <v>5.32</v>
      </c>
      <c r="AI112" s="25">
        <f>AH112/AH113</f>
        <v>0.88021178027796176</v>
      </c>
      <c r="AJ112" s="28"/>
      <c r="AK112" s="25">
        <v>19</v>
      </c>
      <c r="AL112" s="25">
        <v>8.48</v>
      </c>
      <c r="AM112" s="25">
        <f>AL113/AL112</f>
        <v>0.37358490566037733</v>
      </c>
      <c r="AN112" s="28"/>
      <c r="AO112" s="28"/>
      <c r="AP112" s="28"/>
    </row>
    <row r="113" spans="1:42" s="25" customFormat="1" ht="20.25" customHeight="1" x14ac:dyDescent="0.45">
      <c r="A113" s="26"/>
      <c r="B113" s="25">
        <v>3</v>
      </c>
      <c r="C113" s="25">
        <v>1</v>
      </c>
      <c r="F113" s="25">
        <v>1</v>
      </c>
      <c r="G113" s="25">
        <v>3</v>
      </c>
      <c r="J113" s="25">
        <v>0</v>
      </c>
      <c r="K113" s="25">
        <v>3</v>
      </c>
      <c r="M113" s="25">
        <v>4</v>
      </c>
      <c r="N113" s="25">
        <v>2</v>
      </c>
      <c r="Y113" s="25">
        <v>20</v>
      </c>
      <c r="Z113" s="25">
        <v>5.3970000000000002</v>
      </c>
      <c r="AA113" s="28"/>
      <c r="AB113" s="28"/>
      <c r="AC113" s="25">
        <v>20</v>
      </c>
      <c r="AD113" s="25">
        <v>3.1619999999999999</v>
      </c>
      <c r="AE113" s="28"/>
      <c r="AF113" s="28"/>
      <c r="AG113" s="25">
        <v>20</v>
      </c>
      <c r="AH113" s="25">
        <v>6.0439999999999996</v>
      </c>
      <c r="AI113" s="28"/>
      <c r="AJ113" s="28"/>
      <c r="AK113" s="25">
        <v>20</v>
      </c>
      <c r="AL113" s="25">
        <v>3.1680000000000001</v>
      </c>
      <c r="AM113" s="28"/>
      <c r="AN113" s="28"/>
      <c r="AO113" s="28"/>
      <c r="AP113" s="28"/>
    </row>
    <row r="114" spans="1:42" s="25" customFormat="1" ht="20.25" customHeight="1" x14ac:dyDescent="0.45">
      <c r="A114" s="26"/>
      <c r="B114" s="25">
        <v>2</v>
      </c>
      <c r="C114" s="25">
        <v>2</v>
      </c>
      <c r="F114" s="25">
        <v>1</v>
      </c>
      <c r="G114" s="25">
        <v>4</v>
      </c>
      <c r="J114" s="25">
        <v>2</v>
      </c>
      <c r="K114" s="25">
        <v>2</v>
      </c>
      <c r="M114" s="25">
        <v>0</v>
      </c>
      <c r="N114" s="25">
        <v>5</v>
      </c>
      <c r="Y114" s="25" t="s">
        <v>17</v>
      </c>
      <c r="AA114" s="25">
        <f>SUM(AA94:AA113)</f>
        <v>6.3516832675588102</v>
      </c>
      <c r="AC114" s="25" t="s">
        <v>17</v>
      </c>
      <c r="AE114" s="25">
        <f>SUM(AE94:AE113)</f>
        <v>5.5241658552588433</v>
      </c>
      <c r="AI114" s="25">
        <f>SUM(AI94:AI113)</f>
        <v>6.3475260129262896</v>
      </c>
      <c r="AM114" s="25">
        <f>SUM(AM94:AM113)</f>
        <v>4.9286238782344522</v>
      </c>
    </row>
    <row r="115" spans="1:42" s="25" customFormat="1" ht="20.25" customHeight="1" x14ac:dyDescent="0.45">
      <c r="A115" s="26"/>
      <c r="B115" s="25">
        <v>0</v>
      </c>
      <c r="C115" s="25">
        <v>2</v>
      </c>
      <c r="F115" s="25">
        <v>3</v>
      </c>
      <c r="G115" s="25">
        <v>4</v>
      </c>
      <c r="J115" s="25">
        <v>4</v>
      </c>
      <c r="K115" s="25">
        <v>2</v>
      </c>
      <c r="M115" s="25">
        <v>2</v>
      </c>
      <c r="N115" s="25">
        <v>3</v>
      </c>
    </row>
    <row r="116" spans="1:42" s="25" customFormat="1" ht="20.25" customHeight="1" x14ac:dyDescent="0.45">
      <c r="A116" s="26"/>
      <c r="B116" s="25">
        <v>3</v>
      </c>
      <c r="C116" s="25">
        <v>2</v>
      </c>
      <c r="F116" s="25">
        <v>1</v>
      </c>
      <c r="G116" s="25">
        <v>5</v>
      </c>
      <c r="J116" s="25">
        <v>2</v>
      </c>
      <c r="K116" s="25">
        <v>2</v>
      </c>
      <c r="M116" s="25">
        <v>2</v>
      </c>
      <c r="N116" s="25">
        <v>3</v>
      </c>
      <c r="Y116" s="25" t="s">
        <v>38</v>
      </c>
      <c r="AG116" s="25" t="s">
        <v>39</v>
      </c>
    </row>
    <row r="117" spans="1:42" s="25" customFormat="1" ht="20.25" customHeight="1" x14ac:dyDescent="0.45">
      <c r="A117" s="26"/>
      <c r="B117" s="25">
        <v>2</v>
      </c>
      <c r="C117" s="25">
        <v>2</v>
      </c>
      <c r="F117" s="25">
        <v>2</v>
      </c>
      <c r="G117" s="25">
        <v>2</v>
      </c>
      <c r="J117" s="25">
        <v>3</v>
      </c>
      <c r="K117" s="25">
        <v>2</v>
      </c>
      <c r="M117" s="25">
        <v>2</v>
      </c>
      <c r="N117" s="25">
        <v>3</v>
      </c>
      <c r="Y117" s="25">
        <v>1</v>
      </c>
      <c r="Z117" s="25">
        <v>9.98</v>
      </c>
      <c r="AA117" s="25">
        <f>Z118/Z117</f>
        <v>0.54438877755511017</v>
      </c>
      <c r="AB117" s="28"/>
      <c r="AC117" s="25">
        <v>1</v>
      </c>
      <c r="AD117" s="25">
        <v>8.9469999999999992</v>
      </c>
      <c r="AE117" s="25">
        <f>AD118/AD117</f>
        <v>0.44137699787638318</v>
      </c>
      <c r="AF117" s="28"/>
      <c r="AG117" s="25">
        <v>1</v>
      </c>
      <c r="AH117" s="25">
        <v>6.2439999999999998</v>
      </c>
      <c r="AI117" s="25">
        <f>AH118/AH117</f>
        <v>0.69410634208840483</v>
      </c>
      <c r="AJ117" s="28"/>
      <c r="AK117" s="25">
        <v>1</v>
      </c>
      <c r="AL117" s="25">
        <v>9.1709999999999994</v>
      </c>
      <c r="AM117" s="25">
        <f>AL118/AL117</f>
        <v>0.45327663286446412</v>
      </c>
      <c r="AN117" s="28"/>
      <c r="AO117" s="28"/>
      <c r="AP117" s="28"/>
    </row>
    <row r="118" spans="1:42" s="25" customFormat="1" ht="20.25" customHeight="1" x14ac:dyDescent="0.45">
      <c r="A118" s="26"/>
      <c r="B118" s="25">
        <v>1</v>
      </c>
      <c r="C118" s="25">
        <v>2</v>
      </c>
      <c r="F118" s="25">
        <v>1</v>
      </c>
      <c r="G118" s="25">
        <v>4</v>
      </c>
      <c r="J118" s="25">
        <f>SUM(J108:J117)</f>
        <v>20</v>
      </c>
      <c r="K118" s="25">
        <f>SUM(K108:K117)</f>
        <v>20</v>
      </c>
      <c r="M118" s="25">
        <f>SUM(M108:M117)</f>
        <v>15</v>
      </c>
      <c r="N118" s="25">
        <f>SUM(N108:N117)</f>
        <v>31</v>
      </c>
      <c r="Y118" s="25">
        <v>2</v>
      </c>
      <c r="Z118" s="25">
        <v>5.4329999999999998</v>
      </c>
      <c r="AA118" s="28"/>
      <c r="AB118" s="28"/>
      <c r="AC118" s="25">
        <v>2</v>
      </c>
      <c r="AD118" s="25">
        <v>3.9489999999999998</v>
      </c>
      <c r="AE118" s="28"/>
      <c r="AF118" s="28"/>
      <c r="AG118" s="25">
        <v>2</v>
      </c>
      <c r="AH118" s="25">
        <v>4.3339999999999996</v>
      </c>
      <c r="AI118" s="28"/>
      <c r="AJ118" s="28"/>
      <c r="AK118" s="25">
        <v>2</v>
      </c>
      <c r="AL118" s="25">
        <v>4.157</v>
      </c>
      <c r="AM118" s="28"/>
      <c r="AN118" s="28"/>
      <c r="AO118" s="28"/>
      <c r="AP118" s="28"/>
    </row>
    <row r="119" spans="1:42" s="25" customFormat="1" ht="20.25" customHeight="1" x14ac:dyDescent="0.45">
      <c r="A119" s="30" t="s">
        <v>17</v>
      </c>
      <c r="B119" s="25">
        <f>B109+B110+B111+B112+B113+B114+B115+B116+B117+B118</f>
        <v>18</v>
      </c>
      <c r="C119" s="25">
        <f>C109+C110+C111+C112+C113+C114+C115+C116+C117+C118</f>
        <v>18</v>
      </c>
      <c r="F119" s="25">
        <f>F109+F110+F111+F112+F113+F114+F115+F116+F117+F118</f>
        <v>10</v>
      </c>
      <c r="G119" s="25">
        <f>G109+G110+G111+G112+G113+G114+G115+G116+G117+G118</f>
        <v>36</v>
      </c>
      <c r="I119" s="25" t="s">
        <v>10</v>
      </c>
      <c r="J119" s="25" t="s">
        <v>15</v>
      </c>
      <c r="K119" s="25" t="s">
        <v>16</v>
      </c>
      <c r="L119" s="25" t="s">
        <v>8</v>
      </c>
      <c r="M119" s="25" t="s">
        <v>15</v>
      </c>
      <c r="N119" s="25" t="s">
        <v>16</v>
      </c>
      <c r="Y119" s="25">
        <v>3</v>
      </c>
      <c r="Z119" s="25">
        <v>5.782</v>
      </c>
      <c r="AA119" s="25">
        <f>Z120/Z119</f>
        <v>0.64718090626080937</v>
      </c>
      <c r="AB119" s="28"/>
      <c r="AC119" s="25">
        <v>3</v>
      </c>
      <c r="AD119" s="25">
        <v>6.7359999999999998</v>
      </c>
      <c r="AE119" s="25">
        <f>AD120/AD119</f>
        <v>0.65008907363420421</v>
      </c>
      <c r="AF119" s="28"/>
      <c r="AG119" s="25">
        <v>3</v>
      </c>
      <c r="AH119" s="25">
        <v>5.6079999999999997</v>
      </c>
      <c r="AI119" s="25">
        <f>AH120/AH119</f>
        <v>0.75945078459343807</v>
      </c>
      <c r="AJ119" s="28"/>
      <c r="AK119" s="25">
        <v>3</v>
      </c>
      <c r="AL119" s="25">
        <v>8.7569999999999997</v>
      </c>
      <c r="AM119" s="25">
        <f>AL120/AL119</f>
        <v>0.43702181112253058</v>
      </c>
      <c r="AN119" s="28"/>
      <c r="AO119" s="28"/>
      <c r="AP119" s="28"/>
    </row>
    <row r="120" spans="1:42" s="25" customFormat="1" ht="20.25" customHeight="1" x14ac:dyDescent="0.45">
      <c r="A120" s="30" t="s">
        <v>40</v>
      </c>
      <c r="I120" s="25" t="s">
        <v>41</v>
      </c>
      <c r="Y120" s="25">
        <v>4</v>
      </c>
      <c r="Z120" s="25">
        <v>3.742</v>
      </c>
      <c r="AA120" s="28"/>
      <c r="AB120" s="28"/>
      <c r="AC120" s="25">
        <v>4</v>
      </c>
      <c r="AD120" s="25">
        <v>4.3789999999999996</v>
      </c>
      <c r="AE120" s="28"/>
      <c r="AF120" s="28"/>
      <c r="AG120" s="25">
        <v>4</v>
      </c>
      <c r="AH120" s="25">
        <v>4.2590000000000003</v>
      </c>
      <c r="AI120" s="28"/>
      <c r="AJ120" s="28"/>
      <c r="AK120" s="25">
        <v>4</v>
      </c>
      <c r="AL120" s="25">
        <v>3.827</v>
      </c>
      <c r="AM120" s="28"/>
      <c r="AN120" s="28"/>
      <c r="AO120" s="28"/>
      <c r="AP120" s="28"/>
    </row>
    <row r="121" spans="1:42" s="25" customFormat="1" ht="20.25" customHeight="1" x14ac:dyDescent="0.45">
      <c r="A121" s="30" t="s">
        <v>10</v>
      </c>
      <c r="B121" s="25" t="s">
        <v>15</v>
      </c>
      <c r="C121" s="25" t="s">
        <v>16</v>
      </c>
      <c r="E121" s="25" t="s">
        <v>8</v>
      </c>
      <c r="F121" s="25" t="s">
        <v>15</v>
      </c>
      <c r="G121" s="25" t="s">
        <v>16</v>
      </c>
      <c r="Y121" s="25">
        <v>5</v>
      </c>
      <c r="Z121" s="25">
        <v>8.3360000000000003</v>
      </c>
      <c r="AA121" s="25">
        <f>Z122/Z121</f>
        <v>0.30086372360844527</v>
      </c>
      <c r="AB121" s="28"/>
      <c r="AC121" s="25">
        <v>5</v>
      </c>
      <c r="AD121" s="25">
        <v>6.7610000000000001</v>
      </c>
      <c r="AE121" s="25">
        <f>AD122/AD121</f>
        <v>0.46768229551841439</v>
      </c>
      <c r="AF121" s="28"/>
      <c r="AG121" s="25">
        <v>5</v>
      </c>
      <c r="AH121" s="25">
        <v>7.2619999999999996</v>
      </c>
      <c r="AI121" s="25">
        <f>AH122/AH121</f>
        <v>0.50564582759570376</v>
      </c>
      <c r="AJ121" s="28"/>
      <c r="AK121" s="25">
        <v>5</v>
      </c>
      <c r="AL121" s="25">
        <v>5.9370000000000003</v>
      </c>
      <c r="AM121" s="25">
        <f>AL121/AL122</f>
        <v>0.99831847990583489</v>
      </c>
      <c r="AN121" s="28"/>
      <c r="AO121" s="28"/>
      <c r="AP121" s="28"/>
    </row>
    <row r="122" spans="1:42" s="25" customFormat="1" ht="20.25" customHeight="1" x14ac:dyDescent="0.45">
      <c r="A122" s="26"/>
      <c r="B122" s="25">
        <v>1</v>
      </c>
      <c r="C122" s="25">
        <v>3</v>
      </c>
      <c r="F122" s="25">
        <v>1</v>
      </c>
      <c r="G122" s="25">
        <v>3</v>
      </c>
      <c r="Y122" s="25">
        <v>6</v>
      </c>
      <c r="Z122" s="25">
        <v>2.508</v>
      </c>
      <c r="AA122" s="28"/>
      <c r="AB122" s="28"/>
      <c r="AC122" s="25">
        <v>6</v>
      </c>
      <c r="AD122" s="25">
        <v>3.1619999999999999</v>
      </c>
      <c r="AE122" s="28"/>
      <c r="AF122" s="28"/>
      <c r="AG122" s="25">
        <v>6</v>
      </c>
      <c r="AH122" s="25">
        <v>3.6720000000000002</v>
      </c>
      <c r="AI122" s="28"/>
      <c r="AJ122" s="28"/>
      <c r="AK122" s="25">
        <v>6</v>
      </c>
      <c r="AL122" s="25">
        <v>5.9470000000000001</v>
      </c>
      <c r="AM122" s="28"/>
      <c r="AN122" s="28"/>
      <c r="AO122" s="28"/>
      <c r="AP122" s="28"/>
    </row>
    <row r="123" spans="1:42" s="25" customFormat="1" ht="20.25" customHeight="1" x14ac:dyDescent="0.45">
      <c r="A123" s="26"/>
      <c r="B123" s="25">
        <v>3</v>
      </c>
      <c r="C123" s="25">
        <v>1</v>
      </c>
      <c r="F123" s="25">
        <v>1</v>
      </c>
      <c r="G123" s="25">
        <v>3</v>
      </c>
      <c r="Y123" s="25">
        <v>7</v>
      </c>
      <c r="Z123" s="25">
        <v>11.071</v>
      </c>
      <c r="AA123" s="25">
        <f>Z124/Z123</f>
        <v>0.52533646463734085</v>
      </c>
      <c r="AB123" s="28"/>
      <c r="AC123" s="25">
        <v>7</v>
      </c>
      <c r="AD123" s="25">
        <v>6.0339999999999998</v>
      </c>
      <c r="AE123" s="25">
        <f>AD124/AD123</f>
        <v>0.6125290023201857</v>
      </c>
      <c r="AF123" s="28"/>
      <c r="AG123" s="25">
        <v>7</v>
      </c>
      <c r="AH123" s="25">
        <v>6.0229999999999997</v>
      </c>
      <c r="AI123" s="25">
        <f>AH124/AH123</f>
        <v>0.65565332890586092</v>
      </c>
      <c r="AJ123" s="28"/>
      <c r="AK123" s="25">
        <v>7</v>
      </c>
      <c r="AL123" s="25">
        <v>5.57</v>
      </c>
      <c r="AM123" s="25">
        <f>AL124/AL123</f>
        <v>0.60664272890484738</v>
      </c>
      <c r="AN123" s="28"/>
      <c r="AO123" s="28"/>
      <c r="AP123" s="28"/>
    </row>
    <row r="124" spans="1:42" s="25" customFormat="1" ht="20.25" customHeight="1" x14ac:dyDescent="0.45">
      <c r="A124" s="26"/>
      <c r="B124" s="25">
        <v>2</v>
      </c>
      <c r="C124" s="25">
        <v>1</v>
      </c>
      <c r="F124" s="25">
        <v>0</v>
      </c>
      <c r="G124" s="25">
        <v>3</v>
      </c>
      <c r="Y124" s="25">
        <v>8</v>
      </c>
      <c r="Z124" s="25">
        <v>5.8159999999999998</v>
      </c>
      <c r="AA124" s="28"/>
      <c r="AB124" s="28"/>
      <c r="AC124" s="25">
        <v>8</v>
      </c>
      <c r="AD124" s="25">
        <v>3.6960000000000002</v>
      </c>
      <c r="AE124" s="28"/>
      <c r="AF124" s="28"/>
      <c r="AG124" s="25">
        <v>8</v>
      </c>
      <c r="AH124" s="25">
        <v>3.9489999999999998</v>
      </c>
      <c r="AI124" s="28"/>
      <c r="AJ124" s="28"/>
      <c r="AK124" s="25">
        <v>8</v>
      </c>
      <c r="AL124" s="25">
        <v>3.379</v>
      </c>
      <c r="AM124" s="28"/>
      <c r="AN124" s="28"/>
      <c r="AO124" s="28"/>
      <c r="AP124" s="28"/>
    </row>
    <row r="125" spans="1:42" s="25" customFormat="1" ht="20.25" customHeight="1" x14ac:dyDescent="0.45">
      <c r="A125" s="26"/>
      <c r="B125" s="25">
        <v>1</v>
      </c>
      <c r="C125" s="25">
        <v>2</v>
      </c>
      <c r="F125" s="25">
        <v>1</v>
      </c>
      <c r="G125" s="25">
        <v>3</v>
      </c>
      <c r="Y125" s="25">
        <v>9</v>
      </c>
      <c r="Z125" s="25">
        <v>9.423</v>
      </c>
      <c r="AA125" s="25">
        <f>Z126/Z125</f>
        <v>0.7171813647458346</v>
      </c>
      <c r="AB125" s="28"/>
      <c r="AC125" s="25">
        <v>9</v>
      </c>
      <c r="AD125" s="25">
        <v>7.6210000000000004</v>
      </c>
      <c r="AE125" s="25">
        <f>AD125/AD126</f>
        <v>0.97405419222903888</v>
      </c>
      <c r="AF125" s="28"/>
      <c r="AG125" s="25">
        <v>9</v>
      </c>
      <c r="AH125" s="25">
        <v>4.9989999999999997</v>
      </c>
      <c r="AI125" s="25">
        <f>AH125/AH126</f>
        <v>0.54723590585659554</v>
      </c>
      <c r="AJ125" s="28"/>
      <c r="AK125" s="25">
        <v>9</v>
      </c>
      <c r="AL125" s="25">
        <v>9.4139999999999997</v>
      </c>
      <c r="AM125" s="25">
        <f>AL126/AL125</f>
        <v>0.70862545145527944</v>
      </c>
      <c r="AN125" s="28"/>
      <c r="AO125" s="28"/>
      <c r="AP125" s="28"/>
    </row>
    <row r="126" spans="1:42" s="25" customFormat="1" ht="20.25" customHeight="1" x14ac:dyDescent="0.45">
      <c r="A126" s="26"/>
      <c r="B126" s="25">
        <v>3</v>
      </c>
      <c r="C126" s="25">
        <v>2</v>
      </c>
      <c r="F126" s="25">
        <v>3</v>
      </c>
      <c r="G126" s="25">
        <v>2</v>
      </c>
      <c r="Y126" s="25">
        <v>10</v>
      </c>
      <c r="Z126" s="25">
        <v>6.758</v>
      </c>
      <c r="AA126" s="28"/>
      <c r="AB126" s="28"/>
      <c r="AC126" s="25">
        <v>10</v>
      </c>
      <c r="AD126" s="25">
        <v>7.8239999999999998</v>
      </c>
      <c r="AE126" s="28"/>
      <c r="AF126" s="28"/>
      <c r="AG126" s="25">
        <v>10</v>
      </c>
      <c r="AH126" s="25">
        <v>9.1349999999999998</v>
      </c>
      <c r="AI126" s="28"/>
      <c r="AJ126" s="28"/>
      <c r="AK126" s="25">
        <v>10</v>
      </c>
      <c r="AL126" s="25">
        <v>6.6710000000000003</v>
      </c>
      <c r="AM126" s="28"/>
      <c r="AN126" s="28"/>
      <c r="AO126" s="28"/>
      <c r="AP126" s="28"/>
    </row>
    <row r="127" spans="1:42" s="25" customFormat="1" ht="20.25" customHeight="1" x14ac:dyDescent="0.45">
      <c r="A127" s="26"/>
      <c r="B127" s="25">
        <v>1</v>
      </c>
      <c r="C127" s="25">
        <v>3</v>
      </c>
      <c r="F127" s="25">
        <v>0</v>
      </c>
      <c r="G127" s="25">
        <v>3</v>
      </c>
      <c r="Y127" s="25">
        <v>11</v>
      </c>
      <c r="Z127" s="25">
        <v>6.0759999999999996</v>
      </c>
      <c r="AA127" s="25">
        <f>Z128/Z127</f>
        <v>0.96198156682027647</v>
      </c>
      <c r="AB127" s="28"/>
      <c r="AC127" s="25">
        <v>11</v>
      </c>
      <c r="AD127" s="25">
        <v>4.5949999999999998</v>
      </c>
      <c r="AE127" s="25">
        <f>AD127/AD128</f>
        <v>0.9160685805422647</v>
      </c>
      <c r="AF127" s="28"/>
      <c r="AG127" s="25">
        <v>11</v>
      </c>
      <c r="AH127" s="25">
        <v>8.266</v>
      </c>
      <c r="AI127" s="25">
        <f>AH128/AH127</f>
        <v>0.59895959351560601</v>
      </c>
      <c r="AJ127" s="28"/>
      <c r="AK127" s="25">
        <v>11</v>
      </c>
      <c r="AL127" s="25">
        <v>6.694</v>
      </c>
      <c r="AM127" s="25">
        <f>AL128/AL127</f>
        <v>0.56154765461607403</v>
      </c>
      <c r="AN127" s="28"/>
      <c r="AO127" s="28"/>
      <c r="AP127" s="28"/>
    </row>
    <row r="128" spans="1:42" s="25" customFormat="1" ht="20.25" customHeight="1" x14ac:dyDescent="0.45">
      <c r="A128" s="26"/>
      <c r="B128" s="25">
        <v>1</v>
      </c>
      <c r="C128" s="25">
        <v>1</v>
      </c>
      <c r="F128" s="25">
        <v>2</v>
      </c>
      <c r="G128" s="25">
        <v>4</v>
      </c>
      <c r="Y128" s="25">
        <v>12</v>
      </c>
      <c r="Z128" s="25">
        <v>5.8449999999999998</v>
      </c>
      <c r="AA128" s="28"/>
      <c r="AB128" s="28"/>
      <c r="AC128" s="25">
        <v>12</v>
      </c>
      <c r="AD128" s="25">
        <v>5.016</v>
      </c>
      <c r="AE128" s="28"/>
      <c r="AF128" s="28"/>
      <c r="AG128" s="25">
        <v>12</v>
      </c>
      <c r="AH128" s="25">
        <v>4.9509999999999996</v>
      </c>
      <c r="AI128" s="28"/>
      <c r="AJ128" s="28"/>
      <c r="AK128" s="25">
        <v>12</v>
      </c>
      <c r="AL128" s="25">
        <v>3.7589999999999999</v>
      </c>
      <c r="AM128" s="28"/>
      <c r="AN128" s="28"/>
      <c r="AO128" s="28"/>
      <c r="AP128" s="28"/>
    </row>
    <row r="129" spans="1:42" s="25" customFormat="1" ht="20.25" customHeight="1" x14ac:dyDescent="0.45">
      <c r="A129" s="26"/>
      <c r="B129" s="25">
        <v>2</v>
      </c>
      <c r="C129" s="25">
        <v>1</v>
      </c>
      <c r="F129" s="25">
        <v>2</v>
      </c>
      <c r="G129" s="25">
        <v>5</v>
      </c>
      <c r="Y129" s="25">
        <v>13</v>
      </c>
      <c r="Z129" s="25">
        <v>9.4659999999999993</v>
      </c>
      <c r="AA129" s="25">
        <f>Z130/Z129</f>
        <v>0.70779632368476664</v>
      </c>
      <c r="AB129" s="28"/>
      <c r="AC129" s="25">
        <v>13</v>
      </c>
      <c r="AD129" s="25">
        <v>7.8979999999999997</v>
      </c>
      <c r="AE129" s="25">
        <f>AD130/AD129</f>
        <v>0.76399088376804258</v>
      </c>
      <c r="AF129" s="28"/>
      <c r="AG129" s="25">
        <v>13</v>
      </c>
      <c r="AH129" s="25">
        <v>4.3979999999999997</v>
      </c>
      <c r="AI129" s="25">
        <f>AH129/AH130</f>
        <v>0.66666666666666663</v>
      </c>
      <c r="AJ129" s="28"/>
      <c r="AK129" s="25">
        <v>13</v>
      </c>
      <c r="AL129" s="25">
        <v>10.584</v>
      </c>
      <c r="AM129" s="25">
        <f>AL130/AL129</f>
        <v>0.45153061224489799</v>
      </c>
      <c r="AN129" s="28"/>
      <c r="AO129" s="28"/>
      <c r="AP129" s="28"/>
    </row>
    <row r="130" spans="1:42" s="25" customFormat="1" ht="20.25" customHeight="1" x14ac:dyDescent="0.45">
      <c r="A130" s="26"/>
      <c r="B130" s="25">
        <v>1</v>
      </c>
      <c r="C130" s="25">
        <v>2</v>
      </c>
      <c r="F130" s="25">
        <v>3</v>
      </c>
      <c r="G130" s="25">
        <v>1</v>
      </c>
      <c r="Y130" s="25">
        <v>14</v>
      </c>
      <c r="Z130" s="25">
        <v>6.7</v>
      </c>
      <c r="AA130" s="28"/>
      <c r="AB130" s="28"/>
      <c r="AC130" s="25">
        <v>14</v>
      </c>
      <c r="AD130" s="25">
        <v>6.0339999999999998</v>
      </c>
      <c r="AE130" s="28"/>
      <c r="AF130" s="28"/>
      <c r="AG130" s="25">
        <v>14</v>
      </c>
      <c r="AH130" s="25">
        <v>6.5970000000000004</v>
      </c>
      <c r="AI130" s="28"/>
      <c r="AJ130" s="28"/>
      <c r="AK130" s="25">
        <v>14</v>
      </c>
      <c r="AL130" s="25">
        <v>4.7789999999999999</v>
      </c>
      <c r="AM130" s="28"/>
      <c r="AN130" s="28"/>
      <c r="AO130" s="28"/>
      <c r="AP130" s="28"/>
    </row>
    <row r="131" spans="1:42" s="25" customFormat="1" ht="20.25" customHeight="1" x14ac:dyDescent="0.45">
      <c r="A131" s="26"/>
      <c r="B131" s="25">
        <v>3</v>
      </c>
      <c r="C131" s="25">
        <v>1</v>
      </c>
      <c r="F131" s="25">
        <v>1</v>
      </c>
      <c r="G131" s="25">
        <v>3</v>
      </c>
      <c r="Y131" s="25">
        <v>15</v>
      </c>
      <c r="Z131" s="25">
        <v>11.03</v>
      </c>
      <c r="AA131" s="25">
        <f>Z132/Z131</f>
        <v>0.57969174977334548</v>
      </c>
      <c r="AB131" s="28"/>
      <c r="AC131" s="25">
        <v>15</v>
      </c>
      <c r="AD131" s="25">
        <v>8.0950000000000006</v>
      </c>
      <c r="AE131" s="25">
        <f>AD132/AD131</f>
        <v>0.83520691785052492</v>
      </c>
      <c r="AF131" s="28"/>
      <c r="AG131" s="25">
        <v>15</v>
      </c>
      <c r="AH131" s="25">
        <v>7.2649999999999997</v>
      </c>
      <c r="AI131" s="25">
        <f>AH132/AH131</f>
        <v>0.79435650378527189</v>
      </c>
      <c r="AJ131" s="28"/>
      <c r="AK131" s="25">
        <v>15</v>
      </c>
      <c r="AL131" s="25">
        <v>10.305</v>
      </c>
      <c r="AM131" s="25">
        <f>AL132/AL131</f>
        <v>0.39728287239204274</v>
      </c>
      <c r="AN131" s="28"/>
      <c r="AO131" s="28"/>
      <c r="AP131" s="28"/>
    </row>
    <row r="132" spans="1:42" s="25" customFormat="1" ht="20.25" customHeight="1" x14ac:dyDescent="0.45">
      <c r="A132" s="30" t="s">
        <v>17</v>
      </c>
      <c r="B132" s="25">
        <f>B122+B123+B124+B125+B126+B127+B128+B129+B130+B131</f>
        <v>18</v>
      </c>
      <c r="C132" s="25">
        <f>C122+C123+C124+C125+C126+C127+C128+C129+C130+C131</f>
        <v>17</v>
      </c>
      <c r="F132" s="25">
        <f>F122+F123+F124+F125+F126+F127+F128+F129+F130+F131</f>
        <v>14</v>
      </c>
      <c r="G132" s="25">
        <f>G122+G123+G124+G125+G126+G127+G128+G129+G130+G131</f>
        <v>30</v>
      </c>
      <c r="Y132" s="25">
        <v>16</v>
      </c>
      <c r="Z132" s="25">
        <v>6.3940000000000001</v>
      </c>
      <c r="AA132" s="28"/>
      <c r="AB132" s="28"/>
      <c r="AC132" s="25">
        <v>16</v>
      </c>
      <c r="AD132" s="25">
        <v>6.7610000000000001</v>
      </c>
      <c r="AE132" s="28"/>
      <c r="AF132" s="28"/>
      <c r="AG132" s="25">
        <v>16</v>
      </c>
      <c r="AH132" s="25">
        <v>5.7709999999999999</v>
      </c>
      <c r="AI132" s="28"/>
      <c r="AJ132" s="28"/>
      <c r="AK132" s="25">
        <v>16</v>
      </c>
      <c r="AL132" s="25">
        <v>4.0940000000000003</v>
      </c>
      <c r="AM132" s="28"/>
      <c r="AN132" s="28"/>
      <c r="AO132" s="28"/>
      <c r="AP132" s="28"/>
    </row>
    <row r="133" spans="1:42" s="25" customFormat="1" ht="20.25" customHeight="1" x14ac:dyDescent="0.45">
      <c r="A133" s="30" t="s">
        <v>42</v>
      </c>
      <c r="Y133" s="25">
        <v>17</v>
      </c>
      <c r="Z133" s="25">
        <v>5.944</v>
      </c>
      <c r="AA133" s="25">
        <f>Z134/Z133</f>
        <v>0.47493270524899056</v>
      </c>
      <c r="AB133" s="28"/>
      <c r="AC133" s="25">
        <v>17</v>
      </c>
      <c r="AD133" s="25">
        <v>9.0670000000000002</v>
      </c>
      <c r="AE133" s="25">
        <f>AD134/AD133</f>
        <v>0.57913312010587847</v>
      </c>
      <c r="AF133" s="28"/>
      <c r="AG133" s="25">
        <v>17</v>
      </c>
      <c r="AH133" s="25">
        <v>4.9210000000000003</v>
      </c>
      <c r="AI133" s="25">
        <f>AH133/AH134</f>
        <v>0.66843249117087755</v>
      </c>
      <c r="AJ133" s="28"/>
      <c r="AK133" s="25">
        <v>17</v>
      </c>
      <c r="AL133" s="25">
        <v>8.8309999999999995</v>
      </c>
      <c r="AM133" s="25">
        <f>AL134/AL133</f>
        <v>0.50843619069188095</v>
      </c>
      <c r="AN133" s="28"/>
      <c r="AO133" s="28"/>
      <c r="AP133" s="28"/>
    </row>
    <row r="134" spans="1:42" s="25" customFormat="1" ht="20.25" customHeight="1" x14ac:dyDescent="0.45">
      <c r="A134" s="30" t="s">
        <v>10</v>
      </c>
      <c r="B134" s="25" t="s">
        <v>15</v>
      </c>
      <c r="C134" s="25" t="s">
        <v>16</v>
      </c>
      <c r="E134" s="25" t="s">
        <v>8</v>
      </c>
      <c r="F134" s="25" t="s">
        <v>15</v>
      </c>
      <c r="G134" s="25" t="s">
        <v>16</v>
      </c>
      <c r="Y134" s="25">
        <v>18</v>
      </c>
      <c r="Z134" s="25">
        <v>2.823</v>
      </c>
      <c r="AA134" s="28"/>
      <c r="AB134" s="28"/>
      <c r="AC134" s="25">
        <v>18</v>
      </c>
      <c r="AD134" s="25">
        <v>5.2510000000000003</v>
      </c>
      <c r="AE134" s="28"/>
      <c r="AF134" s="28"/>
      <c r="AG134" s="25">
        <v>18</v>
      </c>
      <c r="AH134" s="25">
        <v>7.3620000000000001</v>
      </c>
      <c r="AI134" s="28"/>
      <c r="AJ134" s="28"/>
      <c r="AK134" s="25">
        <v>18</v>
      </c>
      <c r="AL134" s="25">
        <v>4.49</v>
      </c>
      <c r="AM134" s="28"/>
      <c r="AN134" s="28"/>
      <c r="AO134" s="28"/>
      <c r="AP134" s="28"/>
    </row>
    <row r="135" spans="1:42" s="25" customFormat="1" ht="20.25" customHeight="1" x14ac:dyDescent="0.45">
      <c r="A135" s="26"/>
      <c r="B135" s="25">
        <v>2</v>
      </c>
      <c r="C135" s="25">
        <v>3</v>
      </c>
      <c r="F135" s="25">
        <v>3</v>
      </c>
      <c r="G135" s="25">
        <v>1</v>
      </c>
      <c r="Y135" s="25">
        <v>19</v>
      </c>
      <c r="Z135" s="25">
        <v>5.1349999999999998</v>
      </c>
      <c r="AA135" s="25">
        <f>Z136/Z135</f>
        <v>0.61830574488802337</v>
      </c>
      <c r="AB135" s="28"/>
      <c r="AC135" s="25">
        <v>19</v>
      </c>
      <c r="AD135" s="25">
        <v>8.6010000000000009</v>
      </c>
      <c r="AE135" s="25">
        <f>AD136/AD135</f>
        <v>0.50738286245785369</v>
      </c>
      <c r="AF135" s="28"/>
      <c r="AG135" s="25">
        <v>19</v>
      </c>
      <c r="AH135" s="25">
        <v>9.7970000000000006</v>
      </c>
      <c r="AI135" s="25">
        <f>AH136/AH135</f>
        <v>0.2850872716137593</v>
      </c>
      <c r="AJ135" s="28"/>
      <c r="AK135" s="25">
        <v>19</v>
      </c>
      <c r="AL135" s="25">
        <v>9.6159999999999997</v>
      </c>
      <c r="AM135" s="25">
        <f>AL136/AL135</f>
        <v>0.50571963394342767</v>
      </c>
      <c r="AN135" s="28"/>
      <c r="AO135" s="28"/>
      <c r="AP135" s="28"/>
    </row>
    <row r="136" spans="1:42" s="25" customFormat="1" ht="20.25" customHeight="1" x14ac:dyDescent="0.45">
      <c r="A136" s="26"/>
      <c r="B136" s="25">
        <v>4</v>
      </c>
      <c r="C136" s="25">
        <v>2</v>
      </c>
      <c r="F136" s="25">
        <v>1</v>
      </c>
      <c r="G136" s="25">
        <v>5</v>
      </c>
      <c r="Y136" s="25">
        <v>20</v>
      </c>
      <c r="Z136" s="25">
        <v>3.1749999999999998</v>
      </c>
      <c r="AA136" s="28"/>
      <c r="AB136" s="28"/>
      <c r="AC136" s="25">
        <v>20</v>
      </c>
      <c r="AD136" s="25">
        <v>4.3639999999999999</v>
      </c>
      <c r="AE136" s="28"/>
      <c r="AF136" s="28"/>
      <c r="AG136" s="25">
        <v>20</v>
      </c>
      <c r="AH136" s="25">
        <v>2.7930000000000001</v>
      </c>
      <c r="AI136" s="28"/>
      <c r="AJ136" s="28"/>
      <c r="AK136" s="25">
        <v>20</v>
      </c>
      <c r="AL136" s="25">
        <v>4.8630000000000004</v>
      </c>
      <c r="AM136" s="28"/>
      <c r="AN136" s="28"/>
      <c r="AO136" s="28"/>
      <c r="AP136" s="28"/>
    </row>
    <row r="137" spans="1:42" s="25" customFormat="1" ht="20.25" customHeight="1" x14ac:dyDescent="0.45">
      <c r="A137" s="26"/>
      <c r="B137" s="25">
        <v>4</v>
      </c>
      <c r="C137" s="25">
        <v>2</v>
      </c>
      <c r="F137" s="25">
        <v>0</v>
      </c>
      <c r="G137" s="25">
        <v>3</v>
      </c>
      <c r="Y137" s="25" t="s">
        <v>17</v>
      </c>
      <c r="AA137" s="25">
        <f>SUM(AA117:AA136)</f>
        <v>6.0776593272229427</v>
      </c>
      <c r="AE137" s="25">
        <f>SUM(AE117:AE136)</f>
        <v>6.7475139263027906</v>
      </c>
      <c r="AI137" s="25">
        <f>SUM(AI117:AI136)</f>
        <v>6.175594715792184</v>
      </c>
      <c r="AM137" s="25">
        <f>SUM(AM117:AM136)</f>
        <v>5.6284020681412796</v>
      </c>
    </row>
    <row r="138" spans="1:42" s="25" customFormat="1" ht="20.25" customHeight="1" x14ac:dyDescent="0.45">
      <c r="A138" s="26"/>
      <c r="B138" s="25">
        <v>1</v>
      </c>
      <c r="C138" s="25">
        <v>3</v>
      </c>
      <c r="F138" s="25">
        <v>3</v>
      </c>
      <c r="G138" s="25">
        <v>0</v>
      </c>
    </row>
    <row r="139" spans="1:42" s="25" customFormat="1" ht="20.25" customHeight="1" x14ac:dyDescent="0.45">
      <c r="A139" s="26"/>
      <c r="B139" s="25">
        <v>1</v>
      </c>
      <c r="C139" s="25">
        <v>2</v>
      </c>
      <c r="F139" s="25">
        <v>2</v>
      </c>
      <c r="G139" s="25">
        <v>2</v>
      </c>
      <c r="Y139" s="25" t="s">
        <v>43</v>
      </c>
      <c r="AG139" s="25" t="s">
        <v>44</v>
      </c>
    </row>
    <row r="140" spans="1:42" s="25" customFormat="1" ht="20.25" customHeight="1" x14ac:dyDescent="0.45">
      <c r="A140" s="26"/>
      <c r="B140" s="25">
        <v>4</v>
      </c>
      <c r="C140" s="25">
        <v>1</v>
      </c>
      <c r="F140" s="25">
        <v>1</v>
      </c>
      <c r="G140" s="25">
        <v>3</v>
      </c>
      <c r="Y140" s="25">
        <v>1</v>
      </c>
      <c r="Z140" s="25">
        <v>6.2439999999999998</v>
      </c>
      <c r="AA140" s="25">
        <f>Z141/Z140</f>
        <v>0.70515695067264572</v>
      </c>
      <c r="AB140" s="28"/>
      <c r="AC140" s="25">
        <v>1</v>
      </c>
      <c r="AD140" s="25">
        <v>8.9130000000000003</v>
      </c>
      <c r="AE140" s="25">
        <f>AD141/AD140</f>
        <v>0.68013014697632668</v>
      </c>
      <c r="AF140" s="28"/>
      <c r="AG140" s="25">
        <v>1</v>
      </c>
      <c r="AH140" s="25">
        <v>7.2910000000000004</v>
      </c>
      <c r="AI140" s="25">
        <f>AH141/AH140</f>
        <v>0.82608695652173902</v>
      </c>
      <c r="AJ140" s="28"/>
      <c r="AK140" s="25">
        <v>1</v>
      </c>
      <c r="AL140" s="25">
        <v>11.095000000000001</v>
      </c>
      <c r="AM140" s="25">
        <f>AL141/AL140</f>
        <v>0.47697160883280754</v>
      </c>
      <c r="AN140" s="28"/>
      <c r="AO140" s="28"/>
      <c r="AP140" s="28"/>
    </row>
    <row r="141" spans="1:42" s="25" customFormat="1" ht="20.25" customHeight="1" x14ac:dyDescent="0.45">
      <c r="A141" s="26"/>
      <c r="B141" s="25">
        <v>1</v>
      </c>
      <c r="C141" s="25">
        <v>2</v>
      </c>
      <c r="F141" s="25">
        <v>1</v>
      </c>
      <c r="G141" s="25">
        <v>4</v>
      </c>
      <c r="Y141" s="25">
        <v>2</v>
      </c>
      <c r="Z141" s="25">
        <v>4.4029999999999996</v>
      </c>
      <c r="AA141" s="28"/>
      <c r="AB141" s="28"/>
      <c r="AC141" s="25">
        <v>2</v>
      </c>
      <c r="AD141" s="25">
        <v>6.0620000000000003</v>
      </c>
      <c r="AE141" s="28"/>
      <c r="AF141" s="28"/>
      <c r="AG141" s="25">
        <v>2</v>
      </c>
      <c r="AH141" s="25">
        <v>6.0229999999999997</v>
      </c>
      <c r="AI141" s="28"/>
      <c r="AJ141" s="28"/>
      <c r="AK141" s="25">
        <v>2</v>
      </c>
      <c r="AL141" s="25">
        <v>5.2919999999999998</v>
      </c>
      <c r="AM141" s="28"/>
      <c r="AN141" s="28"/>
      <c r="AO141" s="28"/>
      <c r="AP141" s="28"/>
    </row>
    <row r="142" spans="1:42" s="25" customFormat="1" ht="20.25" customHeight="1" x14ac:dyDescent="0.45">
      <c r="A142" s="26"/>
      <c r="B142" s="25">
        <v>2</v>
      </c>
      <c r="C142" s="25">
        <v>3</v>
      </c>
      <c r="F142" s="25">
        <v>1</v>
      </c>
      <c r="G142" s="25">
        <v>5</v>
      </c>
      <c r="Y142" s="25">
        <v>3</v>
      </c>
      <c r="Z142" s="25">
        <v>5.9470000000000001</v>
      </c>
      <c r="AA142" s="25">
        <f>Z143/Z142</f>
        <v>0.87254077686228348</v>
      </c>
      <c r="AB142" s="28"/>
      <c r="AC142" s="25">
        <v>3</v>
      </c>
      <c r="AD142" s="25">
        <v>5.0549999999999997</v>
      </c>
      <c r="AE142" s="25">
        <f>AD143/AD142</f>
        <v>0.84648862512363998</v>
      </c>
      <c r="AF142" s="28"/>
      <c r="AG142" s="25">
        <v>3</v>
      </c>
      <c r="AH142" s="25">
        <v>11.833</v>
      </c>
      <c r="AI142" s="25">
        <f>AH143/AH142</f>
        <v>0.36879912110200286</v>
      </c>
      <c r="AJ142" s="28"/>
      <c r="AK142" s="25">
        <v>3</v>
      </c>
      <c r="AL142" s="25">
        <v>9.5980000000000008</v>
      </c>
      <c r="AM142" s="25">
        <f>AL143/AL142</f>
        <v>0.4859345697020212</v>
      </c>
      <c r="AN142" s="28"/>
      <c r="AO142" s="28"/>
      <c r="AP142" s="28"/>
    </row>
    <row r="143" spans="1:42" s="25" customFormat="1" ht="20.25" customHeight="1" x14ac:dyDescent="0.45">
      <c r="A143" s="26"/>
      <c r="B143" s="25">
        <v>0</v>
      </c>
      <c r="C143" s="25">
        <v>4</v>
      </c>
      <c r="F143" s="25">
        <v>1</v>
      </c>
      <c r="G143" s="25">
        <v>4</v>
      </c>
      <c r="Y143" s="25">
        <v>4</v>
      </c>
      <c r="Z143" s="25">
        <v>5.1890000000000001</v>
      </c>
      <c r="AA143" s="28"/>
      <c r="AB143" s="28"/>
      <c r="AC143" s="25">
        <v>4</v>
      </c>
      <c r="AD143" s="25">
        <v>4.2789999999999999</v>
      </c>
      <c r="AE143" s="28"/>
      <c r="AF143" s="28"/>
      <c r="AG143" s="25">
        <v>4</v>
      </c>
      <c r="AH143" s="25">
        <v>4.3639999999999999</v>
      </c>
      <c r="AI143" s="28"/>
      <c r="AJ143" s="28"/>
      <c r="AK143" s="25">
        <v>4</v>
      </c>
      <c r="AL143" s="25">
        <v>4.6639999999999997</v>
      </c>
      <c r="AM143" s="28"/>
      <c r="AN143" s="28"/>
      <c r="AO143" s="28"/>
      <c r="AP143" s="28"/>
    </row>
    <row r="144" spans="1:42" s="25" customFormat="1" ht="20.25" customHeight="1" x14ac:dyDescent="0.45">
      <c r="A144" s="26"/>
      <c r="B144" s="25">
        <v>1</v>
      </c>
      <c r="C144" s="25">
        <v>2</v>
      </c>
      <c r="F144" s="25">
        <v>0</v>
      </c>
      <c r="G144" s="25">
        <v>5</v>
      </c>
      <c r="Y144" s="25">
        <v>5</v>
      </c>
      <c r="Z144" s="25">
        <v>8.6010000000000009</v>
      </c>
      <c r="AA144" s="25">
        <f>Z145/Z144</f>
        <v>0.25996977095686546</v>
      </c>
      <c r="AB144" s="28"/>
      <c r="AC144" s="25">
        <v>5</v>
      </c>
      <c r="AD144" s="25">
        <v>9.4410000000000007</v>
      </c>
      <c r="AE144" s="25">
        <f>AD145/AD144</f>
        <v>0.46223916957949363</v>
      </c>
      <c r="AF144" s="28"/>
      <c r="AG144" s="25">
        <v>5</v>
      </c>
      <c r="AH144" s="25">
        <v>7.2679999999999998</v>
      </c>
      <c r="AI144" s="25">
        <f>AH145/AH144</f>
        <v>0.35319207484865167</v>
      </c>
      <c r="AJ144" s="28"/>
      <c r="AK144" s="25">
        <v>5</v>
      </c>
      <c r="AL144" s="25">
        <v>7.1479999999999997</v>
      </c>
      <c r="AM144" s="25">
        <f>AL145/AL144</f>
        <v>0.54560716284275323</v>
      </c>
      <c r="AN144" s="28"/>
      <c r="AO144" s="28"/>
      <c r="AP144" s="28"/>
    </row>
    <row r="145" spans="1:42" s="25" customFormat="1" ht="20.25" customHeight="1" x14ac:dyDescent="0.45">
      <c r="A145" s="30" t="s">
        <v>17</v>
      </c>
      <c r="B145" s="25">
        <f>B135+B136+B137+B138+B139+B140+B141+B142+B143+B144</f>
        <v>20</v>
      </c>
      <c r="C145" s="25">
        <f>C135+C136+C137+C138+C139+C140+C141+C142+C143+C144</f>
        <v>24</v>
      </c>
      <c r="F145" s="25">
        <f>F135+F136+F137+F138+F139+F140+F141+F142+F143+F144</f>
        <v>13</v>
      </c>
      <c r="G145" s="25">
        <f>G135+G136+G137+G138+G139+G140+G141+G142+G143+G144</f>
        <v>32</v>
      </c>
      <c r="Y145" s="25">
        <v>6</v>
      </c>
      <c r="Z145" s="25">
        <v>2.2360000000000002</v>
      </c>
      <c r="AA145" s="28"/>
      <c r="AB145" s="28"/>
      <c r="AC145" s="25">
        <v>6</v>
      </c>
      <c r="AD145" s="25">
        <v>4.3639999999999999</v>
      </c>
      <c r="AE145" s="28"/>
      <c r="AF145" s="28"/>
      <c r="AG145" s="25">
        <v>6</v>
      </c>
      <c r="AH145" s="25">
        <v>2.5670000000000002</v>
      </c>
      <c r="AI145" s="28"/>
      <c r="AJ145" s="28"/>
      <c r="AK145" s="25">
        <v>6</v>
      </c>
      <c r="AL145" s="25">
        <v>3.9</v>
      </c>
      <c r="AM145" s="28"/>
      <c r="AN145" s="28"/>
      <c r="AO145" s="28"/>
      <c r="AP145" s="28"/>
    </row>
    <row r="146" spans="1:42" s="25" customFormat="1" ht="20.25" customHeight="1" x14ac:dyDescent="0.45">
      <c r="A146" s="30" t="s">
        <v>45</v>
      </c>
      <c r="Y146" s="25">
        <v>7</v>
      </c>
      <c r="Z146" s="25">
        <v>7.6120000000000001</v>
      </c>
      <c r="AA146" s="25">
        <f>Z147/Z146</f>
        <v>0.49159222280609566</v>
      </c>
      <c r="AB146" s="28"/>
      <c r="AC146" s="25">
        <v>7</v>
      </c>
      <c r="AD146" s="25">
        <v>6.3369999999999997</v>
      </c>
      <c r="AE146" s="25">
        <f>AD147/AD146</f>
        <v>0.62142969859554997</v>
      </c>
      <c r="AF146" s="28"/>
      <c r="AG146" s="25">
        <v>7</v>
      </c>
      <c r="AH146" s="25">
        <v>3.3279999999999998</v>
      </c>
      <c r="AI146" s="25">
        <f>AH146/AH147</f>
        <v>0.63926238955051851</v>
      </c>
      <c r="AJ146" s="28"/>
      <c r="AK146" s="25">
        <v>7</v>
      </c>
      <c r="AL146" s="25">
        <v>6.9770000000000003</v>
      </c>
      <c r="AM146" s="25">
        <f>AL147/AL146</f>
        <v>0.84663895657159238</v>
      </c>
      <c r="AN146" s="28"/>
      <c r="AO146" s="28"/>
      <c r="AP146" s="28"/>
    </row>
    <row r="147" spans="1:42" s="25" customFormat="1" ht="20.25" customHeight="1" x14ac:dyDescent="0.45">
      <c r="A147" s="30" t="s">
        <v>10</v>
      </c>
      <c r="B147" s="25" t="s">
        <v>15</v>
      </c>
      <c r="C147" s="25" t="s">
        <v>16</v>
      </c>
      <c r="E147" s="25" t="s">
        <v>8</v>
      </c>
      <c r="F147" s="25" t="s">
        <v>15</v>
      </c>
      <c r="G147" s="25" t="s">
        <v>16</v>
      </c>
      <c r="Y147" s="25">
        <v>8</v>
      </c>
      <c r="Z147" s="25">
        <v>3.742</v>
      </c>
      <c r="AA147" s="28"/>
      <c r="AB147" s="28"/>
      <c r="AC147" s="25">
        <v>8</v>
      </c>
      <c r="AD147" s="25">
        <v>3.9380000000000002</v>
      </c>
      <c r="AE147" s="28"/>
      <c r="AF147" s="28"/>
      <c r="AG147" s="25">
        <v>8</v>
      </c>
      <c r="AH147" s="25">
        <v>5.2060000000000004</v>
      </c>
      <c r="AI147" s="28"/>
      <c r="AJ147" s="28"/>
      <c r="AK147" s="25">
        <v>8</v>
      </c>
      <c r="AL147" s="25">
        <v>5.907</v>
      </c>
      <c r="AM147" s="28"/>
      <c r="AN147" s="28"/>
      <c r="AO147" s="28"/>
      <c r="AP147" s="28"/>
    </row>
    <row r="148" spans="1:42" s="25" customFormat="1" ht="20.25" customHeight="1" x14ac:dyDescent="0.45">
      <c r="A148" s="26"/>
      <c r="B148" s="25">
        <v>3</v>
      </c>
      <c r="C148" s="25">
        <v>3</v>
      </c>
      <c r="F148" s="25">
        <v>1</v>
      </c>
      <c r="G148" s="25">
        <v>3</v>
      </c>
      <c r="Y148" s="25">
        <v>9</v>
      </c>
      <c r="Z148" s="25">
        <v>4.6829999999999998</v>
      </c>
      <c r="AA148" s="25">
        <f>Z148/Z149</f>
        <v>0.97278770253427493</v>
      </c>
      <c r="AB148" s="28"/>
      <c r="AC148" s="25">
        <v>9</v>
      </c>
      <c r="AD148" s="25">
        <v>8.5809999999999995</v>
      </c>
      <c r="AE148" s="25">
        <f>AD149/AD148</f>
        <v>0.68162218855611245</v>
      </c>
      <c r="AF148" s="28"/>
      <c r="AG148" s="25">
        <v>9</v>
      </c>
      <c r="AH148" s="25">
        <v>7.391</v>
      </c>
      <c r="AI148" s="25">
        <f>AH149/AH148</f>
        <v>0.66283317548369636</v>
      </c>
      <c r="AJ148" s="28"/>
      <c r="AK148" s="25">
        <v>9</v>
      </c>
      <c r="AL148" s="25">
        <v>11.378</v>
      </c>
      <c r="AM148" s="25">
        <f>AL149/AL148</f>
        <v>0.43056776234839161</v>
      </c>
      <c r="AN148" s="28"/>
      <c r="AO148" s="28"/>
      <c r="AP148" s="28"/>
    </row>
    <row r="149" spans="1:42" s="25" customFormat="1" ht="20.25" customHeight="1" x14ac:dyDescent="0.45">
      <c r="A149" s="26"/>
      <c r="B149" s="25">
        <v>2</v>
      </c>
      <c r="C149" s="25">
        <v>3</v>
      </c>
      <c r="F149" s="25">
        <v>2</v>
      </c>
      <c r="G149" s="25">
        <v>3</v>
      </c>
      <c r="Y149" s="25">
        <v>10</v>
      </c>
      <c r="Z149" s="25">
        <v>4.8140000000000001</v>
      </c>
      <c r="AA149" s="28"/>
      <c r="AB149" s="28"/>
      <c r="AC149" s="25">
        <v>10</v>
      </c>
      <c r="AD149" s="25">
        <v>5.8490000000000002</v>
      </c>
      <c r="AE149" s="28"/>
      <c r="AF149" s="28"/>
      <c r="AG149" s="25">
        <v>10</v>
      </c>
      <c r="AH149" s="25">
        <v>4.899</v>
      </c>
      <c r="AI149" s="28"/>
      <c r="AJ149" s="28"/>
      <c r="AK149" s="25">
        <v>10</v>
      </c>
      <c r="AL149" s="25">
        <v>4.899</v>
      </c>
      <c r="AM149" s="28"/>
      <c r="AN149" s="28"/>
      <c r="AO149" s="28"/>
      <c r="AP149" s="28"/>
    </row>
    <row r="150" spans="1:42" s="25" customFormat="1" ht="20.25" customHeight="1" x14ac:dyDescent="0.45">
      <c r="A150" s="26"/>
      <c r="B150" s="25">
        <v>3</v>
      </c>
      <c r="C150" s="25">
        <v>1</v>
      </c>
      <c r="F150" s="25">
        <v>0</v>
      </c>
      <c r="G150" s="25">
        <v>4</v>
      </c>
      <c r="Y150" s="25">
        <v>11</v>
      </c>
      <c r="Z150" s="25">
        <v>8.0180000000000007</v>
      </c>
      <c r="AA150" s="25">
        <f>Z151/Z150</f>
        <v>0.37066600149663254</v>
      </c>
      <c r="AB150" s="28"/>
      <c r="AC150" s="25">
        <v>11</v>
      </c>
      <c r="AD150" s="25">
        <v>7.484</v>
      </c>
      <c r="AE150" s="25">
        <f>AD151/AD150</f>
        <v>0.54703367183324425</v>
      </c>
      <c r="AF150" s="28"/>
      <c r="AG150" s="25">
        <v>11</v>
      </c>
      <c r="AH150" s="25">
        <v>5.0250000000000004</v>
      </c>
      <c r="AI150" s="25">
        <f>AH150/AH151</f>
        <v>0.9652324241260084</v>
      </c>
      <c r="AJ150" s="28"/>
      <c r="AK150" s="25">
        <v>11</v>
      </c>
      <c r="AL150" s="25">
        <v>8.9160000000000004</v>
      </c>
      <c r="AM150" s="25">
        <f>AL151/AL150</f>
        <v>0.47487662628981603</v>
      </c>
      <c r="AN150" s="28"/>
      <c r="AO150" s="28"/>
      <c r="AP150" s="28"/>
    </row>
    <row r="151" spans="1:42" s="25" customFormat="1" ht="20.25" customHeight="1" x14ac:dyDescent="0.45">
      <c r="A151" s="26"/>
      <c r="B151" s="25">
        <v>4</v>
      </c>
      <c r="C151" s="25">
        <v>0</v>
      </c>
      <c r="F151" s="25">
        <v>0</v>
      </c>
      <c r="G151" s="25">
        <v>3</v>
      </c>
      <c r="Y151" s="25">
        <v>12</v>
      </c>
      <c r="Z151" s="25">
        <v>2.972</v>
      </c>
      <c r="AA151" s="28"/>
      <c r="AB151" s="28"/>
      <c r="AC151" s="25">
        <v>12</v>
      </c>
      <c r="AD151" s="25">
        <v>4.0940000000000003</v>
      </c>
      <c r="AE151" s="28"/>
      <c r="AF151" s="28"/>
      <c r="AG151" s="25">
        <v>12</v>
      </c>
      <c r="AH151" s="25">
        <v>5.2060000000000004</v>
      </c>
      <c r="AI151" s="28"/>
      <c r="AJ151" s="28"/>
      <c r="AK151" s="25">
        <v>12</v>
      </c>
      <c r="AL151" s="25">
        <v>4.234</v>
      </c>
      <c r="AM151" s="28"/>
      <c r="AN151" s="28"/>
      <c r="AO151" s="28"/>
      <c r="AP151" s="28"/>
    </row>
    <row r="152" spans="1:42" s="25" customFormat="1" ht="20.25" customHeight="1" x14ac:dyDescent="0.45">
      <c r="A152" s="26"/>
      <c r="B152" s="25">
        <v>2</v>
      </c>
      <c r="C152" s="25">
        <v>3</v>
      </c>
      <c r="F152" s="25">
        <v>1</v>
      </c>
      <c r="G152" s="25">
        <v>2</v>
      </c>
      <c r="Y152" s="25">
        <v>13</v>
      </c>
      <c r="Z152" s="25">
        <v>4.3639999999999999</v>
      </c>
      <c r="AA152" s="25">
        <f>Z152/Z153</f>
        <v>0.75034387895460797</v>
      </c>
      <c r="AB152" s="28"/>
      <c r="AC152" s="25">
        <v>13</v>
      </c>
      <c r="AD152" s="25">
        <v>11.714</v>
      </c>
      <c r="AE152" s="25">
        <f>AD153/AD152</f>
        <v>0.27676284787433841</v>
      </c>
      <c r="AF152" s="28"/>
      <c r="AG152" s="25">
        <v>13</v>
      </c>
      <c r="AH152" s="25">
        <v>7.6379999999999999</v>
      </c>
      <c r="AI152" s="25">
        <f>AH153/AH152</f>
        <v>0.46753076721654885</v>
      </c>
      <c r="AJ152" s="28"/>
      <c r="AK152" s="25">
        <v>13</v>
      </c>
      <c r="AL152" s="25">
        <v>8.5329999999999995</v>
      </c>
      <c r="AM152" s="25">
        <f>AL153/AL152</f>
        <v>0.43103246220555491</v>
      </c>
      <c r="AN152" s="28"/>
      <c r="AO152" s="28"/>
      <c r="AP152" s="28"/>
    </row>
    <row r="153" spans="1:42" s="25" customFormat="1" ht="20.25" customHeight="1" x14ac:dyDescent="0.45">
      <c r="A153" s="26"/>
      <c r="B153" s="25">
        <v>4</v>
      </c>
      <c r="C153" s="25">
        <v>1</v>
      </c>
      <c r="F153" s="25">
        <v>3</v>
      </c>
      <c r="G153" s="25">
        <v>2</v>
      </c>
      <c r="Y153" s="25">
        <v>14</v>
      </c>
      <c r="Z153" s="25">
        <v>5.8159999999999998</v>
      </c>
      <c r="AA153" s="28"/>
      <c r="AB153" s="28"/>
      <c r="AC153" s="25">
        <v>14</v>
      </c>
      <c r="AD153" s="25">
        <v>3.242</v>
      </c>
      <c r="AE153" s="28"/>
      <c r="AF153" s="28"/>
      <c r="AG153" s="25">
        <v>14</v>
      </c>
      <c r="AH153" s="25">
        <v>3.5710000000000002</v>
      </c>
      <c r="AI153" s="28"/>
      <c r="AJ153" s="28"/>
      <c r="AK153" s="25">
        <v>14</v>
      </c>
      <c r="AL153" s="25">
        <v>3.6779999999999999</v>
      </c>
      <c r="AM153" s="28"/>
      <c r="AN153" s="28"/>
      <c r="AO153" s="28"/>
      <c r="AP153" s="28"/>
    </row>
    <row r="154" spans="1:42" s="25" customFormat="1" ht="20.25" customHeight="1" x14ac:dyDescent="0.45">
      <c r="A154" s="26"/>
      <c r="B154" s="25">
        <v>4</v>
      </c>
      <c r="C154" s="25">
        <v>1</v>
      </c>
      <c r="F154" s="25">
        <v>0</v>
      </c>
      <c r="G154" s="25">
        <v>3</v>
      </c>
      <c r="Y154" s="25">
        <v>15</v>
      </c>
      <c r="Z154" s="25">
        <v>3.7360000000000002</v>
      </c>
      <c r="AA154" s="25">
        <f>Z154/Z155</f>
        <v>0.89872504209766668</v>
      </c>
      <c r="AB154" s="28"/>
      <c r="AC154" s="25">
        <v>15</v>
      </c>
      <c r="AD154" s="25">
        <v>5.577</v>
      </c>
      <c r="AE154" s="25">
        <f>AD155/AD154</f>
        <v>0.71113501882732655</v>
      </c>
      <c r="AF154" s="28"/>
      <c r="AG154" s="25">
        <v>15</v>
      </c>
      <c r="AH154" s="25">
        <v>7.556</v>
      </c>
      <c r="AI154" s="25">
        <f>AH155/AH154</f>
        <v>0.46625198517734251</v>
      </c>
      <c r="AJ154" s="28"/>
      <c r="AK154" s="25">
        <v>15</v>
      </c>
      <c r="AL154" s="25">
        <v>10.179</v>
      </c>
      <c r="AM154" s="25">
        <f>AL155/AL154</f>
        <v>0.37213871696630313</v>
      </c>
      <c r="AN154" s="28"/>
      <c r="AO154" s="28"/>
      <c r="AP154" s="28"/>
    </row>
    <row r="155" spans="1:42" s="25" customFormat="1" ht="20.25" customHeight="1" x14ac:dyDescent="0.45">
      <c r="A155" s="26"/>
      <c r="B155" s="25">
        <v>1</v>
      </c>
      <c r="C155" s="25">
        <v>4</v>
      </c>
      <c r="F155" s="25">
        <v>0</v>
      </c>
      <c r="G155" s="25">
        <v>4</v>
      </c>
      <c r="Y155" s="25">
        <v>16</v>
      </c>
      <c r="Z155" s="25">
        <v>4.157</v>
      </c>
      <c r="AA155" s="28"/>
      <c r="AB155" s="28"/>
      <c r="AC155" s="25">
        <v>16</v>
      </c>
      <c r="AD155" s="25">
        <v>3.9660000000000002</v>
      </c>
      <c r="AE155" s="28"/>
      <c r="AF155" s="28"/>
      <c r="AG155" s="25">
        <v>16</v>
      </c>
      <c r="AH155" s="25">
        <v>3.5230000000000001</v>
      </c>
      <c r="AI155" s="28"/>
      <c r="AJ155" s="28"/>
      <c r="AK155" s="25">
        <v>16</v>
      </c>
      <c r="AL155" s="25">
        <v>3.7879999999999998</v>
      </c>
      <c r="AM155" s="28"/>
      <c r="AN155" s="28"/>
      <c r="AO155" s="28"/>
      <c r="AP155" s="28"/>
    </row>
    <row r="156" spans="1:42" s="25" customFormat="1" ht="20.25" customHeight="1" x14ac:dyDescent="0.45">
      <c r="A156" s="26"/>
      <c r="B156" s="25">
        <v>3</v>
      </c>
      <c r="C156" s="25">
        <v>0</v>
      </c>
      <c r="F156" s="25">
        <v>1</v>
      </c>
      <c r="G156" s="25">
        <v>4</v>
      </c>
      <c r="Y156" s="25">
        <v>17</v>
      </c>
      <c r="Z156" s="25">
        <v>5.6079999999999997</v>
      </c>
      <c r="AA156" s="25">
        <f>Z157/Z156</f>
        <v>0.37018544935805997</v>
      </c>
      <c r="AB156" s="28"/>
      <c r="AC156" s="25">
        <v>17</v>
      </c>
      <c r="AD156" s="25">
        <v>12.262</v>
      </c>
      <c r="AE156" s="25">
        <f>AD157/AD156</f>
        <v>0.29220355570053824</v>
      </c>
      <c r="AF156" s="28"/>
      <c r="AG156" s="25">
        <v>17</v>
      </c>
      <c r="AH156" s="25">
        <v>7.3360000000000003</v>
      </c>
      <c r="AI156" s="25">
        <f>AH157/AH156</f>
        <v>0.45706106870229007</v>
      </c>
      <c r="AJ156" s="28"/>
      <c r="AK156" s="25">
        <v>17</v>
      </c>
      <c r="AL156" s="25">
        <v>5.4130000000000003</v>
      </c>
      <c r="AM156" s="25">
        <f>AL157/AL156</f>
        <v>0.92037687049695183</v>
      </c>
      <c r="AN156" s="28"/>
      <c r="AO156" s="28"/>
      <c r="AP156" s="28"/>
    </row>
    <row r="157" spans="1:42" s="25" customFormat="1" ht="20.25" customHeight="1" x14ac:dyDescent="0.45">
      <c r="A157" s="26"/>
      <c r="B157" s="25">
        <v>2</v>
      </c>
      <c r="C157" s="25">
        <v>2</v>
      </c>
      <c r="F157" s="25">
        <v>2</v>
      </c>
      <c r="G157" s="25">
        <v>3</v>
      </c>
      <c r="Y157" s="25">
        <v>18</v>
      </c>
      <c r="Z157" s="25">
        <v>2.0760000000000001</v>
      </c>
      <c r="AA157" s="28"/>
      <c r="AB157" s="28"/>
      <c r="AC157" s="25">
        <v>18</v>
      </c>
      <c r="AD157" s="25">
        <v>3.5830000000000002</v>
      </c>
      <c r="AE157" s="28"/>
      <c r="AF157" s="28"/>
      <c r="AG157" s="25">
        <v>18</v>
      </c>
      <c r="AH157" s="25">
        <v>3.3530000000000002</v>
      </c>
      <c r="AI157" s="28"/>
      <c r="AJ157" s="28"/>
      <c r="AK157" s="25">
        <v>18</v>
      </c>
      <c r="AL157" s="25">
        <v>4.9820000000000002</v>
      </c>
      <c r="AM157" s="28"/>
      <c r="AN157" s="28"/>
      <c r="AO157" s="28"/>
      <c r="AP157" s="28"/>
    </row>
    <row r="158" spans="1:42" s="25" customFormat="1" ht="20.25" customHeight="1" x14ac:dyDescent="0.45">
      <c r="A158" s="30" t="s">
        <v>17</v>
      </c>
      <c r="B158" s="25">
        <f>B148+B149+B150+B151+B152+B153+B154+B155+B156+B157</f>
        <v>28</v>
      </c>
      <c r="C158" s="25">
        <f>C148+C149+C150+C151+C152+C153+C154+C155+C156+C157</f>
        <v>18</v>
      </c>
      <c r="F158" s="25">
        <f>F148+F149+F150+F151+F152+F153+F154+F155+F156+F157</f>
        <v>10</v>
      </c>
      <c r="G158" s="25">
        <f>G148+G149+G150+G151+G152+G153+G154+G155+G156+G157</f>
        <v>31</v>
      </c>
      <c r="Y158" s="25">
        <v>19</v>
      </c>
      <c r="Z158" s="25">
        <v>8.0980000000000008</v>
      </c>
      <c r="AA158" s="25">
        <f>Z159/Z158</f>
        <v>0.46208940479130645</v>
      </c>
      <c r="AB158" s="28"/>
      <c r="AC158" s="25">
        <v>19</v>
      </c>
      <c r="AD158" s="25">
        <v>8.8109999999999999</v>
      </c>
      <c r="AE158" s="25">
        <f>AD159/AD158</f>
        <v>0.41675178753830439</v>
      </c>
      <c r="AF158" s="28"/>
      <c r="AG158" s="25">
        <v>19</v>
      </c>
      <c r="AH158" s="25">
        <v>7.3710000000000004</v>
      </c>
      <c r="AI158" s="25">
        <f>AH159/AH158</f>
        <v>0.67643467643467636</v>
      </c>
      <c r="AJ158" s="28"/>
      <c r="AK158" s="25">
        <v>19</v>
      </c>
      <c r="AL158" s="25">
        <v>6.2270000000000003</v>
      </c>
      <c r="AM158" s="25">
        <f>AL159/AL158</f>
        <v>0.75574112734864307</v>
      </c>
      <c r="AN158" s="28"/>
      <c r="AO158" s="28"/>
      <c r="AP158" s="28"/>
    </row>
    <row r="159" spans="1:42" s="25" customFormat="1" ht="20.25" customHeight="1" x14ac:dyDescent="0.45">
      <c r="A159" s="30" t="s">
        <v>10</v>
      </c>
      <c r="B159" s="25" t="s">
        <v>15</v>
      </c>
      <c r="C159" s="25" t="s">
        <v>16</v>
      </c>
      <c r="E159" s="25" t="s">
        <v>8</v>
      </c>
      <c r="F159" s="25" t="s">
        <v>15</v>
      </c>
      <c r="G159" s="25" t="s">
        <v>16</v>
      </c>
      <c r="Y159" s="25">
        <v>20</v>
      </c>
      <c r="Z159" s="25">
        <v>3.742</v>
      </c>
      <c r="AA159" s="28"/>
      <c r="AB159" s="28"/>
      <c r="AC159" s="25">
        <v>20</v>
      </c>
      <c r="AD159" s="25">
        <v>3.6720000000000002</v>
      </c>
      <c r="AE159" s="28"/>
      <c r="AF159" s="28"/>
      <c r="AG159" s="25">
        <v>20</v>
      </c>
      <c r="AH159" s="25">
        <v>4.9859999999999998</v>
      </c>
      <c r="AI159" s="28"/>
      <c r="AJ159" s="28"/>
      <c r="AK159" s="25">
        <v>20</v>
      </c>
      <c r="AL159" s="25">
        <v>4.7060000000000004</v>
      </c>
      <c r="AM159" s="28"/>
      <c r="AN159" s="28"/>
      <c r="AO159" s="28"/>
      <c r="AP159" s="28"/>
    </row>
    <row r="160" spans="1:42" s="25" customFormat="1" ht="20.25" customHeight="1" x14ac:dyDescent="0.45">
      <c r="A160" s="30" t="s">
        <v>46</v>
      </c>
      <c r="B160" s="25">
        <v>2</v>
      </c>
      <c r="C160" s="25">
        <v>3</v>
      </c>
      <c r="F160" s="25">
        <v>1</v>
      </c>
      <c r="G160" s="25">
        <v>3</v>
      </c>
      <c r="Y160" s="25" t="s">
        <v>17</v>
      </c>
      <c r="AA160" s="25">
        <f>SUM(AA140:AA159)</f>
        <v>6.1540572005304384</v>
      </c>
      <c r="AE160" s="25">
        <f>SUM(AE140:AE159)</f>
        <v>5.5357967106048758</v>
      </c>
      <c r="AI160" s="25">
        <f>SUM(AI140:AI159)</f>
        <v>5.8826846391634753</v>
      </c>
      <c r="AM160" s="25">
        <f>SUM(AM140:AM159)</f>
        <v>5.7398858636048349</v>
      </c>
    </row>
    <row r="161" spans="1:42" s="25" customFormat="1" ht="20.25" customHeight="1" x14ac:dyDescent="0.45">
      <c r="A161" s="26"/>
      <c r="B161" s="25">
        <v>3</v>
      </c>
      <c r="C161" s="25">
        <v>1</v>
      </c>
      <c r="F161" s="25">
        <v>2</v>
      </c>
      <c r="G161" s="25">
        <v>3</v>
      </c>
    </row>
    <row r="162" spans="1:42" s="25" customFormat="1" ht="20.25" customHeight="1" x14ac:dyDescent="0.45">
      <c r="A162" s="26"/>
      <c r="B162" s="25">
        <v>3</v>
      </c>
      <c r="C162" s="25">
        <v>1</v>
      </c>
      <c r="F162" s="25">
        <v>0</v>
      </c>
      <c r="G162" s="25">
        <v>4</v>
      </c>
      <c r="Y162" s="25" t="s">
        <v>47</v>
      </c>
      <c r="AG162" s="25" t="s">
        <v>48</v>
      </c>
    </row>
    <row r="163" spans="1:42" s="25" customFormat="1" ht="20.25" customHeight="1" x14ac:dyDescent="0.45">
      <c r="A163" s="26"/>
      <c r="B163" s="25">
        <v>4</v>
      </c>
      <c r="C163" s="25">
        <v>0</v>
      </c>
      <c r="F163" s="25">
        <v>3</v>
      </c>
      <c r="G163" s="25">
        <v>1</v>
      </c>
      <c r="Y163" s="25">
        <v>1</v>
      </c>
      <c r="Z163" s="25">
        <v>4.4370000000000003</v>
      </c>
      <c r="AA163" s="25">
        <f>Z164/Z163</f>
        <v>0.96439035384268645</v>
      </c>
      <c r="AB163" s="28"/>
      <c r="AC163" s="25">
        <v>1</v>
      </c>
      <c r="AD163" s="25">
        <v>13.09</v>
      </c>
      <c r="AE163" s="25">
        <f>AD164/AD163</f>
        <v>0.23414820473644002</v>
      </c>
      <c r="AF163" s="28"/>
      <c r="AG163" s="25">
        <v>1</v>
      </c>
      <c r="AH163" s="25">
        <v>6.9770000000000003</v>
      </c>
      <c r="AI163" s="25">
        <f>AH164/AH163</f>
        <v>0.66848215565429259</v>
      </c>
      <c r="AJ163" s="28"/>
      <c r="AK163" s="25">
        <v>1</v>
      </c>
      <c r="AL163" s="25">
        <v>11.795</v>
      </c>
      <c r="AM163" s="25">
        <f>AL164/AL163</f>
        <v>0.35192878338278932</v>
      </c>
      <c r="AN163" s="28"/>
      <c r="AO163" s="28"/>
      <c r="AP163" s="28"/>
    </row>
    <row r="164" spans="1:42" s="25" customFormat="1" ht="20.25" customHeight="1" x14ac:dyDescent="0.45">
      <c r="A164" s="26"/>
      <c r="B164" s="25">
        <v>1</v>
      </c>
      <c r="C164" s="25">
        <v>3</v>
      </c>
      <c r="F164" s="25">
        <v>3</v>
      </c>
      <c r="G164" s="25">
        <v>1</v>
      </c>
      <c r="Y164" s="25">
        <v>2</v>
      </c>
      <c r="Z164" s="25">
        <v>4.2789999999999999</v>
      </c>
      <c r="AA164" s="28"/>
      <c r="AB164" s="28"/>
      <c r="AC164" s="25">
        <v>2</v>
      </c>
      <c r="AD164" s="25">
        <v>3.0649999999999999</v>
      </c>
      <c r="AE164" s="28"/>
      <c r="AF164" s="28"/>
      <c r="AG164" s="25">
        <v>2</v>
      </c>
      <c r="AH164" s="25">
        <v>4.6639999999999997</v>
      </c>
      <c r="AI164" s="28"/>
      <c r="AJ164" s="28"/>
      <c r="AK164" s="25">
        <v>2</v>
      </c>
      <c r="AL164" s="25">
        <v>4.1509999999999998</v>
      </c>
      <c r="AM164" s="28"/>
      <c r="AN164" s="28"/>
      <c r="AO164" s="28"/>
      <c r="AP164" s="28"/>
    </row>
    <row r="165" spans="1:42" s="25" customFormat="1" ht="20.25" customHeight="1" x14ac:dyDescent="0.45">
      <c r="A165" s="26"/>
      <c r="B165" s="25">
        <v>1</v>
      </c>
      <c r="C165" s="25">
        <v>3</v>
      </c>
      <c r="F165" s="25">
        <v>0</v>
      </c>
      <c r="G165" s="25">
        <v>4</v>
      </c>
      <c r="Y165" s="25">
        <v>3</v>
      </c>
      <c r="Z165" s="25">
        <v>5.7409999999999997</v>
      </c>
      <c r="AA165" s="25">
        <f>Z166/Z165</f>
        <v>0.59292806131336007</v>
      </c>
      <c r="AB165" s="28"/>
      <c r="AC165" s="25">
        <v>3</v>
      </c>
      <c r="AD165" s="25">
        <v>7.069</v>
      </c>
      <c r="AE165" s="25">
        <f>AD166/AD165</f>
        <v>0.58721176969868438</v>
      </c>
      <c r="AF165" s="28"/>
      <c r="AG165" s="25">
        <v>3</v>
      </c>
      <c r="AH165" s="25">
        <v>6.0519999999999996</v>
      </c>
      <c r="AI165" s="25">
        <f>AH166/AH165</f>
        <v>0.69448116325181763</v>
      </c>
      <c r="AJ165" s="28"/>
      <c r="AK165" s="25">
        <v>3</v>
      </c>
      <c r="AL165" s="25">
        <v>10.577999999999999</v>
      </c>
      <c r="AM165" s="25">
        <f>AL166/AL165</f>
        <v>0.59160521837776525</v>
      </c>
      <c r="AN165" s="28"/>
      <c r="AO165" s="28"/>
      <c r="AP165" s="28"/>
    </row>
    <row r="166" spans="1:42" s="25" customFormat="1" ht="20.25" customHeight="1" x14ac:dyDescent="0.45">
      <c r="A166" s="26"/>
      <c r="B166" s="25">
        <v>3</v>
      </c>
      <c r="C166" s="25">
        <v>2</v>
      </c>
      <c r="F166" s="25">
        <v>1</v>
      </c>
      <c r="G166" s="25">
        <v>3</v>
      </c>
      <c r="Y166" s="25">
        <v>4</v>
      </c>
      <c r="Z166" s="25">
        <v>3.4039999999999999</v>
      </c>
      <c r="AA166" s="28"/>
      <c r="AB166" s="28"/>
      <c r="AC166" s="25">
        <v>4</v>
      </c>
      <c r="AD166" s="25">
        <v>4.1509999999999998</v>
      </c>
      <c r="AE166" s="28"/>
      <c r="AF166" s="28"/>
      <c r="AG166" s="25">
        <v>4</v>
      </c>
      <c r="AH166" s="25">
        <v>4.2030000000000003</v>
      </c>
      <c r="AI166" s="28"/>
      <c r="AJ166" s="28"/>
      <c r="AK166" s="25">
        <v>4</v>
      </c>
      <c r="AL166" s="25">
        <v>6.258</v>
      </c>
      <c r="AM166" s="28"/>
      <c r="AN166" s="28"/>
      <c r="AO166" s="28"/>
      <c r="AP166" s="28"/>
    </row>
    <row r="167" spans="1:42" s="25" customFormat="1" ht="20.25" customHeight="1" x14ac:dyDescent="0.45">
      <c r="A167" s="26"/>
      <c r="B167" s="25">
        <v>3</v>
      </c>
      <c r="C167" s="25">
        <v>1</v>
      </c>
      <c r="F167" s="25">
        <v>0</v>
      </c>
      <c r="G167" s="25">
        <v>1</v>
      </c>
      <c r="Y167" s="25">
        <v>5</v>
      </c>
      <c r="Z167" s="25">
        <v>4.3789999999999996</v>
      </c>
      <c r="AA167" s="25">
        <f>Z168/Z167</f>
        <v>0.76432975565197536</v>
      </c>
      <c r="AB167" s="28"/>
      <c r="AC167" s="25">
        <v>5</v>
      </c>
      <c r="AD167" s="25">
        <v>3.242</v>
      </c>
      <c r="AE167" s="25">
        <f>AD167/AD168</f>
        <v>0.70925399256180266</v>
      </c>
      <c r="AF167" s="28"/>
      <c r="AG167" s="25">
        <v>5</v>
      </c>
      <c r="AH167" s="25">
        <v>4.0890000000000004</v>
      </c>
      <c r="AI167" s="25">
        <f>AH167/AH168</f>
        <v>0.64873869585911481</v>
      </c>
      <c r="AJ167" s="28"/>
      <c r="AK167" s="25">
        <v>5</v>
      </c>
      <c r="AL167" s="25">
        <v>6.0439999999999996</v>
      </c>
      <c r="AM167" s="25">
        <f>AL168/AL167</f>
        <v>0.969556585043018</v>
      </c>
      <c r="AN167" s="28"/>
      <c r="AO167" s="28"/>
      <c r="AP167" s="28"/>
    </row>
    <row r="168" spans="1:42" s="25" customFormat="1" ht="20.25" customHeight="1" x14ac:dyDescent="0.45">
      <c r="A168" s="26"/>
      <c r="B168" s="25">
        <v>1</v>
      </c>
      <c r="C168" s="25">
        <v>3</v>
      </c>
      <c r="F168" s="25">
        <v>0</v>
      </c>
      <c r="G168" s="25">
        <v>3</v>
      </c>
      <c r="Y168" s="25">
        <v>6</v>
      </c>
      <c r="Z168" s="25">
        <v>3.347</v>
      </c>
      <c r="AA168" s="28"/>
      <c r="AB168" s="28"/>
      <c r="AC168" s="25">
        <v>6</v>
      </c>
      <c r="AD168" s="25">
        <v>4.5709999999999997</v>
      </c>
      <c r="AE168" s="28"/>
      <c r="AF168" s="28"/>
      <c r="AG168" s="25">
        <v>6</v>
      </c>
      <c r="AH168" s="25">
        <v>6.3029999999999999</v>
      </c>
      <c r="AI168" s="28"/>
      <c r="AJ168" s="28"/>
      <c r="AK168" s="25">
        <v>6</v>
      </c>
      <c r="AL168" s="25">
        <v>5.86</v>
      </c>
      <c r="AM168" s="28"/>
      <c r="AN168" s="28"/>
      <c r="AO168" s="28"/>
      <c r="AP168" s="28"/>
    </row>
    <row r="169" spans="1:42" s="25" customFormat="1" ht="20.25" customHeight="1" x14ac:dyDescent="0.45">
      <c r="A169" s="26"/>
      <c r="B169" s="25">
        <v>1</v>
      </c>
      <c r="C169" s="25">
        <v>2</v>
      </c>
      <c r="F169" s="25">
        <v>0</v>
      </c>
      <c r="G169" s="25">
        <v>3</v>
      </c>
      <c r="Y169" s="25">
        <v>7</v>
      </c>
      <c r="Z169" s="25">
        <v>8.0739999999999998</v>
      </c>
      <c r="AA169" s="25">
        <f>Z170/Z169</f>
        <v>0.76430517711171664</v>
      </c>
      <c r="AB169" s="28"/>
      <c r="AC169" s="25">
        <v>7</v>
      </c>
      <c r="AD169" s="25">
        <v>8.2319999999999993</v>
      </c>
      <c r="AE169" s="25">
        <f>AD170/AD169</f>
        <v>0.53960155490767747</v>
      </c>
      <c r="AF169" s="28"/>
      <c r="AG169" s="25">
        <v>7</v>
      </c>
      <c r="AH169" s="25">
        <v>6.1289999999999996</v>
      </c>
      <c r="AI169" s="25">
        <f>AH170/AH169</f>
        <v>0.9118942731277534</v>
      </c>
      <c r="AJ169" s="28"/>
      <c r="AK169" s="25">
        <v>7</v>
      </c>
      <c r="AL169" s="25">
        <v>9.0500000000000007</v>
      </c>
      <c r="AM169" s="25">
        <f>AL170/AL169</f>
        <v>0.27999999999999997</v>
      </c>
      <c r="AN169" s="28"/>
      <c r="AO169" s="28"/>
      <c r="AP169" s="28"/>
    </row>
    <row r="170" spans="1:42" s="25" customFormat="1" ht="20.25" customHeight="1" x14ac:dyDescent="0.45">
      <c r="A170" s="30" t="s">
        <v>17</v>
      </c>
      <c r="B170" s="25">
        <f>B160+B161+B162+B163+B164+B165+B166+B167+B168+B169</f>
        <v>22</v>
      </c>
      <c r="C170" s="25">
        <f>C160+C161+C162+C163+C164+C165+C166+C167+C168+C169</f>
        <v>19</v>
      </c>
      <c r="F170" s="25">
        <f>F160+F161+F162+F163+F164+F165+F166+F167+F168+F169</f>
        <v>10</v>
      </c>
      <c r="G170" s="25">
        <f>G160+G161+G162+G163+G164+G165+G166+G167+G168+G169</f>
        <v>26</v>
      </c>
      <c r="Y170" s="25">
        <v>8</v>
      </c>
      <c r="Z170" s="25">
        <v>6.1710000000000003</v>
      </c>
      <c r="AA170" s="28"/>
      <c r="AB170" s="28"/>
      <c r="AC170" s="25">
        <v>8</v>
      </c>
      <c r="AD170" s="25">
        <v>4.4420000000000002</v>
      </c>
      <c r="AE170" s="28"/>
      <c r="AF170" s="28"/>
      <c r="AG170" s="25">
        <v>8</v>
      </c>
      <c r="AH170" s="25">
        <v>5.5890000000000004</v>
      </c>
      <c r="AI170" s="28"/>
      <c r="AJ170" s="28"/>
      <c r="AK170" s="25">
        <v>8</v>
      </c>
      <c r="AL170" s="25">
        <v>2.5339999999999998</v>
      </c>
      <c r="AM170" s="28"/>
      <c r="AN170" s="28"/>
      <c r="AO170" s="28"/>
      <c r="AP170" s="28"/>
    </row>
    <row r="171" spans="1:42" s="25" customFormat="1" ht="20.25" customHeight="1" x14ac:dyDescent="0.45">
      <c r="A171" s="30" t="s">
        <v>10</v>
      </c>
      <c r="B171" s="25" t="s">
        <v>15</v>
      </c>
      <c r="C171" s="25" t="s">
        <v>16</v>
      </c>
      <c r="E171" s="25" t="s">
        <v>8</v>
      </c>
      <c r="F171" s="25" t="s">
        <v>15</v>
      </c>
      <c r="G171" s="25" t="s">
        <v>16</v>
      </c>
      <c r="Y171" s="25">
        <v>9</v>
      </c>
      <c r="Z171" s="25">
        <v>5.2919999999999998</v>
      </c>
      <c r="AA171" s="25">
        <f>Z172/Z171</f>
        <v>0.72959183673469397</v>
      </c>
      <c r="AB171" s="28"/>
      <c r="AC171" s="25">
        <v>9</v>
      </c>
      <c r="AD171" s="25">
        <v>4.7060000000000004</v>
      </c>
      <c r="AE171" s="25">
        <f>AD171/AD172</f>
        <v>0.80061245321537944</v>
      </c>
      <c r="AF171" s="28"/>
      <c r="AG171" s="25">
        <v>9</v>
      </c>
      <c r="AH171" s="25">
        <v>7.75</v>
      </c>
      <c r="AI171" s="25">
        <f>AH172/AH171</f>
        <v>0.36425806451612902</v>
      </c>
      <c r="AJ171" s="28"/>
      <c r="AK171" s="25">
        <v>9</v>
      </c>
      <c r="AL171" s="25">
        <v>5.2510000000000003</v>
      </c>
      <c r="AM171" s="25">
        <f>AL172/AL171</f>
        <v>0.94953342220529413</v>
      </c>
      <c r="AN171" s="28"/>
      <c r="AO171" s="28"/>
      <c r="AP171" s="28"/>
    </row>
    <row r="172" spans="1:42" s="25" customFormat="1" ht="20.25" customHeight="1" x14ac:dyDescent="0.45">
      <c r="A172" s="30" t="s">
        <v>49</v>
      </c>
      <c r="B172" s="25">
        <v>2</v>
      </c>
      <c r="C172" s="25">
        <v>4</v>
      </c>
      <c r="F172" s="25">
        <v>3</v>
      </c>
      <c r="G172" s="25">
        <v>1</v>
      </c>
      <c r="Y172" s="25">
        <v>10</v>
      </c>
      <c r="Z172" s="25">
        <v>3.8610000000000002</v>
      </c>
      <c r="AA172" s="28"/>
      <c r="AB172" s="28"/>
      <c r="AC172" s="25">
        <v>10</v>
      </c>
      <c r="AD172" s="25">
        <v>5.8780000000000001</v>
      </c>
      <c r="AE172" s="28"/>
      <c r="AF172" s="28"/>
      <c r="AG172" s="25">
        <v>10</v>
      </c>
      <c r="AH172" s="25">
        <v>2.823</v>
      </c>
      <c r="AI172" s="28"/>
      <c r="AJ172" s="28"/>
      <c r="AK172" s="25">
        <v>10</v>
      </c>
      <c r="AL172" s="25">
        <v>4.9859999999999998</v>
      </c>
      <c r="AM172" s="28"/>
      <c r="AN172" s="28"/>
      <c r="AO172" s="28"/>
      <c r="AP172" s="28"/>
    </row>
    <row r="173" spans="1:42" s="25" customFormat="1" ht="20.25" customHeight="1" x14ac:dyDescent="0.45">
      <c r="A173" s="26"/>
      <c r="B173" s="25">
        <v>0</v>
      </c>
      <c r="C173" s="25">
        <v>4</v>
      </c>
      <c r="F173" s="25">
        <v>1</v>
      </c>
      <c r="G173" s="25">
        <v>2</v>
      </c>
      <c r="Y173" s="25">
        <v>11</v>
      </c>
      <c r="Z173" s="25">
        <v>8.19</v>
      </c>
      <c r="AA173" s="25">
        <f>Z174/Z173</f>
        <v>0.65946275946275945</v>
      </c>
      <c r="AB173" s="28"/>
      <c r="AC173" s="25">
        <v>11</v>
      </c>
      <c r="AD173" s="25">
        <v>5.3970000000000002</v>
      </c>
      <c r="AE173" s="25">
        <f>AD173/AD174</f>
        <v>0.88824884792626735</v>
      </c>
      <c r="AF173" s="28"/>
      <c r="AG173" s="25">
        <v>11</v>
      </c>
      <c r="AH173" s="25">
        <v>7.9119999999999999</v>
      </c>
      <c r="AI173" s="25">
        <f>AH174/AH173</f>
        <v>0.55649646107178963</v>
      </c>
      <c r="AJ173" s="28"/>
      <c r="AK173" s="25">
        <v>11</v>
      </c>
      <c r="AL173" s="25">
        <v>8.7970000000000006</v>
      </c>
      <c r="AM173" s="25">
        <f>AL174/AL173</f>
        <v>0.42207570762760027</v>
      </c>
      <c r="AN173" s="28"/>
      <c r="AO173" s="28"/>
      <c r="AP173" s="28"/>
    </row>
    <row r="174" spans="1:42" s="25" customFormat="1" ht="20.25" customHeight="1" x14ac:dyDescent="0.45">
      <c r="A174" s="26"/>
      <c r="B174" s="25">
        <v>1</v>
      </c>
      <c r="C174" s="25">
        <v>4</v>
      </c>
      <c r="F174" s="25">
        <v>1</v>
      </c>
      <c r="G174" s="25">
        <v>4</v>
      </c>
      <c r="Y174" s="25">
        <v>12</v>
      </c>
      <c r="Z174" s="25">
        <v>5.4009999999999998</v>
      </c>
      <c r="AA174" s="28"/>
      <c r="AB174" s="28"/>
      <c r="AC174" s="25">
        <v>12</v>
      </c>
      <c r="AD174" s="25">
        <v>6.0759999999999996</v>
      </c>
      <c r="AE174" s="28"/>
      <c r="AF174" s="28"/>
      <c r="AG174" s="25">
        <v>12</v>
      </c>
      <c r="AH174" s="25">
        <v>4.4029999999999996</v>
      </c>
      <c r="AI174" s="28"/>
      <c r="AJ174" s="28"/>
      <c r="AK174" s="25">
        <v>12</v>
      </c>
      <c r="AL174" s="25">
        <v>3.7130000000000001</v>
      </c>
      <c r="AM174" s="28"/>
      <c r="AN174" s="28"/>
      <c r="AO174" s="28"/>
      <c r="AP174" s="28"/>
    </row>
    <row r="175" spans="1:42" s="25" customFormat="1" ht="20.25" customHeight="1" x14ac:dyDescent="0.45">
      <c r="A175" s="26"/>
      <c r="B175" s="25">
        <v>4</v>
      </c>
      <c r="C175" s="25">
        <v>0</v>
      </c>
      <c r="F175" s="25">
        <v>1</v>
      </c>
      <c r="G175" s="25">
        <v>4</v>
      </c>
      <c r="Y175" s="25">
        <v>13</v>
      </c>
      <c r="Z175" s="25">
        <v>12.045999999999999</v>
      </c>
      <c r="AA175" s="25">
        <f>Z176/Z175</f>
        <v>0.22986883612817535</v>
      </c>
      <c r="AB175" s="28"/>
      <c r="AC175" s="25">
        <v>13</v>
      </c>
      <c r="AD175" s="25">
        <v>10.769</v>
      </c>
      <c r="AE175" s="25">
        <f>AD176/AD175</f>
        <v>0.44832389265484263</v>
      </c>
      <c r="AF175" s="28"/>
      <c r="AG175" s="25">
        <v>13</v>
      </c>
      <c r="AH175" s="25">
        <v>7.6829999999999998</v>
      </c>
      <c r="AI175" s="25">
        <f>AH176/AH175</f>
        <v>0.51620460757516595</v>
      </c>
      <c r="AJ175" s="28"/>
      <c r="AK175" s="25">
        <v>13</v>
      </c>
      <c r="AL175" s="25">
        <v>12.635999999999999</v>
      </c>
      <c r="AM175" s="25">
        <f>AL176/AL175</f>
        <v>0.30555555555555558</v>
      </c>
      <c r="AN175" s="28"/>
      <c r="AO175" s="28"/>
      <c r="AP175" s="28"/>
    </row>
    <row r="176" spans="1:42" s="25" customFormat="1" ht="20.25" customHeight="1" x14ac:dyDescent="0.45">
      <c r="A176" s="26"/>
      <c r="B176" s="25">
        <v>2</v>
      </c>
      <c r="C176" s="25">
        <v>1</v>
      </c>
      <c r="F176" s="25">
        <v>2</v>
      </c>
      <c r="G176" s="25">
        <v>1</v>
      </c>
      <c r="Y176" s="25">
        <v>14</v>
      </c>
      <c r="Z176" s="25">
        <v>2.7690000000000001</v>
      </c>
      <c r="AA176" s="28"/>
      <c r="AB176" s="28"/>
      <c r="AC176" s="25">
        <v>14</v>
      </c>
      <c r="AD176" s="25">
        <v>4.8280000000000003</v>
      </c>
      <c r="AE176" s="28"/>
      <c r="AF176" s="28"/>
      <c r="AG176" s="25">
        <v>14</v>
      </c>
      <c r="AH176" s="25">
        <v>3.9660000000000002</v>
      </c>
      <c r="AI176" s="28"/>
      <c r="AJ176" s="28"/>
      <c r="AK176" s="25">
        <v>14</v>
      </c>
      <c r="AL176" s="25">
        <v>3.8610000000000002</v>
      </c>
      <c r="AM176" s="28"/>
      <c r="AN176" s="28"/>
      <c r="AO176" s="28"/>
      <c r="AP176" s="28"/>
    </row>
    <row r="177" spans="1:42" s="25" customFormat="1" ht="20.25" customHeight="1" x14ac:dyDescent="0.45">
      <c r="A177" s="26"/>
      <c r="B177" s="25">
        <v>1</v>
      </c>
      <c r="C177" s="25">
        <v>3</v>
      </c>
      <c r="F177" s="25">
        <v>1</v>
      </c>
      <c r="G177" s="25">
        <v>4</v>
      </c>
      <c r="Y177" s="25">
        <v>15</v>
      </c>
      <c r="Z177" s="25">
        <v>8.18</v>
      </c>
      <c r="AA177" s="25">
        <f>Z178/Z177</f>
        <v>0.5074572127139364</v>
      </c>
      <c r="AB177" s="28"/>
      <c r="AC177" s="25">
        <v>15</v>
      </c>
      <c r="AD177" s="25">
        <v>12.896000000000001</v>
      </c>
      <c r="AE177" s="25">
        <f>AD178/AD177</f>
        <v>0.28156017369727043</v>
      </c>
      <c r="AF177" s="28"/>
      <c r="AG177" s="25">
        <v>15</v>
      </c>
      <c r="AH177" s="25">
        <v>9.9480000000000004</v>
      </c>
      <c r="AI177" s="25">
        <f>AH178/AH177</f>
        <v>0.52161238439887414</v>
      </c>
      <c r="AJ177" s="28"/>
      <c r="AK177" s="25">
        <v>15</v>
      </c>
      <c r="AL177" s="25">
        <v>7.4980000000000002</v>
      </c>
      <c r="AM177" s="25">
        <f>AL178/AL177</f>
        <v>0.29421178981061613</v>
      </c>
      <c r="AN177" s="28"/>
      <c r="AO177" s="28"/>
      <c r="AP177" s="28"/>
    </row>
    <row r="178" spans="1:42" s="25" customFormat="1" ht="20.25" customHeight="1" x14ac:dyDescent="0.45">
      <c r="A178" s="26"/>
      <c r="B178" s="25">
        <v>4</v>
      </c>
      <c r="C178" s="25">
        <v>1</v>
      </c>
      <c r="F178" s="25">
        <v>0</v>
      </c>
      <c r="G178" s="25">
        <v>4</v>
      </c>
      <c r="Y178" s="25">
        <v>16</v>
      </c>
      <c r="Z178" s="25">
        <v>4.1509999999999998</v>
      </c>
      <c r="AA178" s="28"/>
      <c r="AB178" s="28"/>
      <c r="AC178" s="25">
        <v>16</v>
      </c>
      <c r="AD178" s="25">
        <v>3.6309999999999998</v>
      </c>
      <c r="AE178" s="28"/>
      <c r="AF178" s="28"/>
      <c r="AG178" s="25">
        <v>16</v>
      </c>
      <c r="AH178" s="25">
        <v>5.1890000000000001</v>
      </c>
      <c r="AI178" s="28"/>
      <c r="AJ178" s="28"/>
      <c r="AK178" s="25">
        <v>16</v>
      </c>
      <c r="AL178" s="25">
        <v>2.206</v>
      </c>
      <c r="AM178" s="28"/>
      <c r="AN178" s="28"/>
      <c r="AO178" s="28"/>
      <c r="AP178" s="28"/>
    </row>
    <row r="179" spans="1:42" s="25" customFormat="1" ht="20.25" customHeight="1" x14ac:dyDescent="0.45">
      <c r="A179" s="26"/>
      <c r="B179" s="25">
        <v>0</v>
      </c>
      <c r="C179" s="25">
        <v>3</v>
      </c>
      <c r="F179" s="25">
        <v>1</v>
      </c>
      <c r="G179" s="25">
        <v>3</v>
      </c>
      <c r="Y179" s="25">
        <v>17</v>
      </c>
      <c r="Z179" s="25">
        <v>7.1420000000000003</v>
      </c>
      <c r="AA179" s="25">
        <f>Z180/Z179</f>
        <v>0.54060487258471013</v>
      </c>
      <c r="AB179" s="28"/>
      <c r="AC179" s="25">
        <v>17</v>
      </c>
      <c r="AD179" s="25">
        <v>9.6910000000000007</v>
      </c>
      <c r="AE179" s="25">
        <f>AD180/AD179</f>
        <v>0.30285832215457642</v>
      </c>
      <c r="AF179" s="28"/>
      <c r="AG179" s="25">
        <v>17</v>
      </c>
      <c r="AH179" s="25">
        <v>5.2919999999999998</v>
      </c>
      <c r="AI179" s="25">
        <f>AH179/AH180</f>
        <v>0.87442167878387311</v>
      </c>
      <c r="AJ179" s="28"/>
      <c r="AK179" s="25">
        <v>17</v>
      </c>
      <c r="AL179" s="25">
        <v>10.423999999999999</v>
      </c>
      <c r="AM179" s="25">
        <f>AL180/AL179</f>
        <v>0.32108595548733693</v>
      </c>
      <c r="AN179" s="28"/>
      <c r="AO179" s="28"/>
      <c r="AP179" s="28"/>
    </row>
    <row r="180" spans="1:42" s="25" customFormat="1" ht="20.25" customHeight="1" x14ac:dyDescent="0.45">
      <c r="A180" s="26"/>
      <c r="B180" s="25">
        <v>3</v>
      </c>
      <c r="C180" s="25">
        <v>1</v>
      </c>
      <c r="F180" s="25">
        <v>0</v>
      </c>
      <c r="G180" s="25">
        <v>4</v>
      </c>
      <c r="Y180" s="25">
        <v>18</v>
      </c>
      <c r="Z180" s="25">
        <v>3.8610000000000002</v>
      </c>
      <c r="AA180" s="28"/>
      <c r="AB180" s="28"/>
      <c r="AC180" s="25">
        <v>18</v>
      </c>
      <c r="AD180" s="25">
        <v>2.9350000000000001</v>
      </c>
      <c r="AE180" s="28"/>
      <c r="AF180" s="28"/>
      <c r="AG180" s="25">
        <v>18</v>
      </c>
      <c r="AH180" s="25">
        <v>6.0519999999999996</v>
      </c>
      <c r="AI180" s="28"/>
      <c r="AJ180" s="28"/>
      <c r="AK180" s="25">
        <v>18</v>
      </c>
      <c r="AL180" s="25">
        <v>3.347</v>
      </c>
      <c r="AM180" s="28"/>
      <c r="AN180" s="28"/>
      <c r="AO180" s="28"/>
      <c r="AP180" s="28"/>
    </row>
    <row r="181" spans="1:42" s="25" customFormat="1" ht="20.25" customHeight="1" x14ac:dyDescent="0.45">
      <c r="A181" s="26"/>
      <c r="B181" s="25">
        <v>3</v>
      </c>
      <c r="C181" s="25">
        <v>3</v>
      </c>
      <c r="F181" s="25">
        <v>0</v>
      </c>
      <c r="G181" s="25">
        <v>4</v>
      </c>
      <c r="Y181" s="25">
        <v>19</v>
      </c>
      <c r="Z181" s="25">
        <v>12.012</v>
      </c>
      <c r="AA181" s="25">
        <f>Z182/Z181</f>
        <v>0.37895437895437889</v>
      </c>
      <c r="AB181" s="28"/>
      <c r="AC181" s="25">
        <v>19</v>
      </c>
      <c r="AD181" s="25">
        <v>5.782</v>
      </c>
      <c r="AE181" s="25">
        <f>AD182/AD181</f>
        <v>0.79470771359391212</v>
      </c>
      <c r="AF181" s="28"/>
      <c r="AG181" s="25">
        <v>19</v>
      </c>
      <c r="AH181" s="25">
        <v>10.378</v>
      </c>
      <c r="AI181" s="25">
        <f>AH182/AH181</f>
        <v>0.34929658893813836</v>
      </c>
      <c r="AJ181" s="28"/>
      <c r="AK181" s="25">
        <v>19</v>
      </c>
      <c r="AL181" s="25">
        <v>10.069000000000001</v>
      </c>
      <c r="AM181" s="25">
        <f>AL182/AL181</f>
        <v>0.53639884794915083</v>
      </c>
      <c r="AN181" s="28"/>
      <c r="AO181" s="28"/>
      <c r="AP181" s="28"/>
    </row>
    <row r="182" spans="1:42" s="25" customFormat="1" ht="20.25" customHeight="1" x14ac:dyDescent="0.45">
      <c r="A182" s="30" t="s">
        <v>17</v>
      </c>
      <c r="B182" s="25">
        <f>B172+B173+B174+B175+B176+B177+B178+B179+B180+B181</f>
        <v>20</v>
      </c>
      <c r="C182" s="25">
        <f>C172+C173+C174+C175+C176+C177+C178+C179+C180+C181</f>
        <v>24</v>
      </c>
      <c r="F182" s="25">
        <f>F172+F173+F174+F175+F176+F177+F178+F179+F180+F181</f>
        <v>10</v>
      </c>
      <c r="G182" s="25">
        <f>G172+G173+G174+G175+G176+G177+G178+G179+G180+G181</f>
        <v>31</v>
      </c>
      <c r="Y182" s="25">
        <v>20</v>
      </c>
      <c r="Z182" s="25">
        <v>4.5519999999999996</v>
      </c>
      <c r="AA182" s="28"/>
      <c r="AB182" s="28"/>
      <c r="AC182" s="25">
        <v>20</v>
      </c>
      <c r="AD182" s="25">
        <v>4.5949999999999998</v>
      </c>
      <c r="AE182" s="28"/>
      <c r="AF182" s="28"/>
      <c r="AG182" s="25">
        <v>20</v>
      </c>
      <c r="AH182" s="25">
        <v>3.625</v>
      </c>
      <c r="AI182" s="28"/>
      <c r="AJ182" s="28"/>
      <c r="AK182" s="25">
        <v>20</v>
      </c>
      <c r="AL182" s="25">
        <v>5.4009999999999998</v>
      </c>
      <c r="AM182" s="28"/>
      <c r="AN182" s="28"/>
      <c r="AO182" s="28"/>
      <c r="AP182" s="28"/>
    </row>
    <row r="183" spans="1:42" s="25" customFormat="1" ht="20.25" customHeight="1" x14ac:dyDescent="0.45">
      <c r="A183" s="30" t="s">
        <v>10</v>
      </c>
      <c r="B183" s="25" t="s">
        <v>15</v>
      </c>
      <c r="C183" s="25" t="s">
        <v>16</v>
      </c>
      <c r="E183" s="25" t="s">
        <v>8</v>
      </c>
      <c r="F183" s="25" t="s">
        <v>15</v>
      </c>
      <c r="G183" s="25" t="s">
        <v>16</v>
      </c>
      <c r="Y183" s="25" t="s">
        <v>17</v>
      </c>
      <c r="AA183" s="25">
        <f>SUM(AA163:AA182)</f>
        <v>6.1318932444983938</v>
      </c>
      <c r="AE183" s="25">
        <f>SUM(AE163:AE182)</f>
        <v>5.5865269251468526</v>
      </c>
      <c r="AI183" s="25">
        <f>SUM(AI163:AI182)</f>
        <v>6.1058860731769489</v>
      </c>
      <c r="AM183" s="25">
        <f>SUM(AM163:AM182)</f>
        <v>5.0219518654391262</v>
      </c>
    </row>
    <row r="184" spans="1:42" s="25" customFormat="1" ht="20.25" customHeight="1" x14ac:dyDescent="0.45">
      <c r="A184" s="30" t="s">
        <v>50</v>
      </c>
      <c r="B184" s="25">
        <v>5</v>
      </c>
      <c r="C184" s="25">
        <v>4</v>
      </c>
      <c r="F184" s="25">
        <v>1</v>
      </c>
      <c r="G184" s="25">
        <v>2</v>
      </c>
    </row>
    <row r="185" spans="1:42" s="25" customFormat="1" ht="20.25" customHeight="1" x14ac:dyDescent="0.45">
      <c r="A185" s="26"/>
      <c r="B185" s="25">
        <v>3</v>
      </c>
      <c r="C185" s="25">
        <v>1</v>
      </c>
      <c r="F185" s="25">
        <v>2</v>
      </c>
      <c r="G185" s="25">
        <v>3</v>
      </c>
      <c r="Y185" s="25" t="s">
        <v>51</v>
      </c>
      <c r="AG185" s="25" t="s">
        <v>52</v>
      </c>
    </row>
    <row r="186" spans="1:42" s="25" customFormat="1" ht="20.25" customHeight="1" x14ac:dyDescent="0.45">
      <c r="A186" s="26"/>
      <c r="B186" s="25">
        <v>4</v>
      </c>
      <c r="C186" s="25">
        <v>0</v>
      </c>
      <c r="F186" s="25">
        <v>3</v>
      </c>
      <c r="G186" s="25">
        <v>3</v>
      </c>
      <c r="Y186" s="25">
        <v>1</v>
      </c>
      <c r="Z186" s="25">
        <v>8.0760000000000005</v>
      </c>
      <c r="AA186" s="25">
        <f>Z187/Z186</f>
        <v>0.56599801882119849</v>
      </c>
      <c r="AB186" s="28"/>
      <c r="AC186" s="25">
        <v>1</v>
      </c>
      <c r="AD186" s="25">
        <v>11.034000000000001</v>
      </c>
      <c r="AE186" s="25">
        <f>AD187/AD186</f>
        <v>0.42269349284031171</v>
      </c>
      <c r="AF186" s="28"/>
      <c r="AG186" s="25">
        <v>1</v>
      </c>
      <c r="AH186" s="25">
        <v>8.2110000000000003</v>
      </c>
      <c r="AI186" s="25">
        <f>AH187/AH186</f>
        <v>0.56521739130434778</v>
      </c>
      <c r="AJ186" s="28"/>
      <c r="AK186" s="25">
        <v>1</v>
      </c>
      <c r="AL186" s="25">
        <v>7.024</v>
      </c>
      <c r="AM186" s="25">
        <f>AL187/AL186</f>
        <v>0.75227790432801822</v>
      </c>
      <c r="AN186" s="28"/>
      <c r="AO186" s="28"/>
      <c r="AP186" s="28"/>
    </row>
    <row r="187" spans="1:42" s="25" customFormat="1" ht="20.25" customHeight="1" x14ac:dyDescent="0.45">
      <c r="A187" s="26"/>
      <c r="B187" s="25">
        <v>2</v>
      </c>
      <c r="C187" s="25">
        <v>2</v>
      </c>
      <c r="F187" s="25">
        <v>0</v>
      </c>
      <c r="G187" s="25">
        <v>4</v>
      </c>
      <c r="Y187" s="25">
        <v>2</v>
      </c>
      <c r="Z187" s="25">
        <v>4.5709999999999997</v>
      </c>
      <c r="AA187" s="28"/>
      <c r="AB187" s="28"/>
      <c r="AC187" s="25">
        <v>2</v>
      </c>
      <c r="AD187" s="25">
        <v>4.6639999999999997</v>
      </c>
      <c r="AE187" s="28"/>
      <c r="AF187" s="28"/>
      <c r="AG187" s="25">
        <v>2</v>
      </c>
      <c r="AH187" s="25">
        <v>4.641</v>
      </c>
      <c r="AI187" s="28"/>
      <c r="AJ187" s="28"/>
      <c r="AK187" s="25">
        <v>2</v>
      </c>
      <c r="AL187" s="25">
        <v>5.2839999999999998</v>
      </c>
      <c r="AM187" s="28"/>
      <c r="AN187" s="28"/>
      <c r="AO187" s="28"/>
      <c r="AP187" s="28"/>
    </row>
    <row r="188" spans="1:42" s="25" customFormat="1" ht="20.25" customHeight="1" x14ac:dyDescent="0.45">
      <c r="A188" s="26"/>
      <c r="B188" s="25">
        <v>1</v>
      </c>
      <c r="C188" s="25">
        <v>2</v>
      </c>
      <c r="F188" s="25">
        <v>0</v>
      </c>
      <c r="G188" s="25">
        <v>4</v>
      </c>
      <c r="Y188" s="25">
        <v>3</v>
      </c>
      <c r="Z188" s="25">
        <v>5.1269999999999998</v>
      </c>
      <c r="AA188" s="25">
        <f>Z189/Z188</f>
        <v>0.86639360249658681</v>
      </c>
      <c r="AB188" s="28"/>
      <c r="AC188" s="25">
        <v>3</v>
      </c>
      <c r="AD188" s="25">
        <v>9.5839999999999996</v>
      </c>
      <c r="AE188" s="25">
        <f>AD189/AD188</f>
        <v>0.37823455759599334</v>
      </c>
      <c r="AF188" s="28"/>
      <c r="AG188" s="25">
        <v>3</v>
      </c>
      <c r="AH188" s="25">
        <v>8.9469999999999992</v>
      </c>
      <c r="AI188" s="25">
        <f>AH189/AH188</f>
        <v>0.32804291941432884</v>
      </c>
      <c r="AJ188" s="28"/>
      <c r="AK188" s="25">
        <v>3</v>
      </c>
      <c r="AL188" s="25">
        <v>9.1349999999999998</v>
      </c>
      <c r="AM188" s="25">
        <f>AL189/AL188</f>
        <v>0.59080459770114946</v>
      </c>
      <c r="AN188" s="28"/>
      <c r="AO188" s="28"/>
      <c r="AP188" s="28"/>
    </row>
    <row r="189" spans="1:42" s="25" customFormat="1" ht="20.25" customHeight="1" x14ac:dyDescent="0.45">
      <c r="A189" s="26"/>
      <c r="B189" s="25">
        <v>3</v>
      </c>
      <c r="C189" s="25">
        <v>3</v>
      </c>
      <c r="F189" s="25">
        <v>2</v>
      </c>
      <c r="G189" s="25">
        <v>3</v>
      </c>
      <c r="Y189" s="25">
        <v>4</v>
      </c>
      <c r="Z189" s="25">
        <v>4.4420000000000002</v>
      </c>
      <c r="AA189" s="28"/>
      <c r="AB189" s="28"/>
      <c r="AC189" s="25">
        <v>4</v>
      </c>
      <c r="AD189" s="25">
        <v>3.625</v>
      </c>
      <c r="AE189" s="28"/>
      <c r="AF189" s="28"/>
      <c r="AG189" s="25">
        <v>4</v>
      </c>
      <c r="AH189" s="25">
        <v>2.9350000000000001</v>
      </c>
      <c r="AI189" s="28"/>
      <c r="AJ189" s="28"/>
      <c r="AK189" s="25">
        <v>4</v>
      </c>
      <c r="AL189" s="25">
        <v>5.3970000000000002</v>
      </c>
      <c r="AM189" s="28"/>
      <c r="AN189" s="28"/>
      <c r="AO189" s="28"/>
      <c r="AP189" s="28"/>
    </row>
    <row r="190" spans="1:42" s="25" customFormat="1" ht="20.25" customHeight="1" x14ac:dyDescent="0.45">
      <c r="A190" s="26"/>
      <c r="B190" s="25">
        <v>4</v>
      </c>
      <c r="C190" s="25">
        <v>1</v>
      </c>
      <c r="F190" s="25">
        <v>0</v>
      </c>
      <c r="G190" s="25">
        <v>5</v>
      </c>
      <c r="Y190" s="25">
        <v>5</v>
      </c>
      <c r="Z190" s="25">
        <v>4.4370000000000003</v>
      </c>
      <c r="AA190" s="25">
        <f>Z190/Z191</f>
        <v>0.64773722627737229</v>
      </c>
      <c r="AB190" s="28"/>
      <c r="AC190" s="25">
        <v>5</v>
      </c>
      <c r="AD190" s="25">
        <v>5.8159999999999998</v>
      </c>
      <c r="AE190" s="25">
        <f>AD191/AD190</f>
        <v>0.82393397524071521</v>
      </c>
      <c r="AF190" s="28"/>
      <c r="AG190" s="25">
        <v>5</v>
      </c>
      <c r="AH190" s="25">
        <v>5.7409999999999997</v>
      </c>
      <c r="AI190" s="25">
        <f>AH191/AH190</f>
        <v>0.85107124194391226</v>
      </c>
      <c r="AJ190" s="28"/>
      <c r="AK190" s="25">
        <v>5</v>
      </c>
      <c r="AL190" s="25">
        <v>11.250999999999999</v>
      </c>
      <c r="AM190" s="25">
        <f>AL191/AL190</f>
        <v>0.31419429384054753</v>
      </c>
      <c r="AN190" s="28"/>
      <c r="AO190" s="28"/>
      <c r="AP190" s="28"/>
    </row>
    <row r="191" spans="1:42" s="25" customFormat="1" ht="20.25" customHeight="1" x14ac:dyDescent="0.45">
      <c r="A191" s="26"/>
      <c r="B191" s="25">
        <v>6</v>
      </c>
      <c r="C191" s="25">
        <v>0</v>
      </c>
      <c r="F191" s="25">
        <v>4</v>
      </c>
      <c r="G191" s="25">
        <v>1</v>
      </c>
      <c r="Y191" s="25">
        <v>6</v>
      </c>
      <c r="Z191" s="25">
        <v>6.85</v>
      </c>
      <c r="AA191" s="28"/>
      <c r="AB191" s="28"/>
      <c r="AC191" s="25">
        <v>6</v>
      </c>
      <c r="AD191" s="25">
        <v>4.7919999999999998</v>
      </c>
      <c r="AE191" s="28"/>
      <c r="AF191" s="28"/>
      <c r="AG191" s="25">
        <v>6</v>
      </c>
      <c r="AH191" s="25">
        <v>4.8860000000000001</v>
      </c>
      <c r="AI191" s="28"/>
      <c r="AJ191" s="28"/>
      <c r="AK191" s="25">
        <v>6</v>
      </c>
      <c r="AL191" s="25">
        <v>3.5350000000000001</v>
      </c>
      <c r="AM191" s="28"/>
      <c r="AN191" s="28"/>
      <c r="AO191" s="28"/>
      <c r="AP191" s="28"/>
    </row>
    <row r="192" spans="1:42" s="25" customFormat="1" ht="20.25" customHeight="1" x14ac:dyDescent="0.45">
      <c r="A192" s="26"/>
      <c r="B192" s="25">
        <v>2</v>
      </c>
      <c r="C192" s="25">
        <v>3</v>
      </c>
      <c r="F192" s="25">
        <v>0</v>
      </c>
      <c r="G192" s="25">
        <v>2</v>
      </c>
      <c r="Y192" s="25">
        <v>7</v>
      </c>
      <c r="Z192" s="25">
        <v>7.89</v>
      </c>
      <c r="AA192" s="25">
        <f>Z193/Z192</f>
        <v>0.57870722433460076</v>
      </c>
      <c r="AB192" s="28"/>
      <c r="AC192" s="25">
        <v>7</v>
      </c>
      <c r="AD192" s="25">
        <v>8.1189999999999998</v>
      </c>
      <c r="AE192" s="25">
        <f>AD193/AD192</f>
        <v>0.49636654760438481</v>
      </c>
      <c r="AF192" s="28"/>
      <c r="AG192" s="25">
        <v>7</v>
      </c>
      <c r="AH192" s="25">
        <v>4.3979999999999997</v>
      </c>
      <c r="AI192" s="25">
        <f>AH193/AH192</f>
        <v>0.65575261482492042</v>
      </c>
      <c r="AJ192" s="28"/>
      <c r="AK192" s="25">
        <v>7</v>
      </c>
      <c r="AL192" s="25">
        <v>9.4760000000000009</v>
      </c>
      <c r="AM192" s="25">
        <f>AL193/AL192</f>
        <v>0.32344871253693536</v>
      </c>
      <c r="AN192" s="28"/>
      <c r="AO192" s="28"/>
      <c r="AP192" s="28"/>
    </row>
    <row r="193" spans="1:42" s="25" customFormat="1" ht="20.25" customHeight="1" x14ac:dyDescent="0.45">
      <c r="A193" s="26"/>
      <c r="B193" s="25">
        <v>4</v>
      </c>
      <c r="C193" s="25">
        <v>3</v>
      </c>
      <c r="F193" s="25">
        <v>1</v>
      </c>
      <c r="G193" s="25">
        <v>3</v>
      </c>
      <c r="Y193" s="25">
        <v>8</v>
      </c>
      <c r="Z193" s="25">
        <v>4.5659999999999998</v>
      </c>
      <c r="AA193" s="28"/>
      <c r="AB193" s="28"/>
      <c r="AC193" s="25">
        <v>8</v>
      </c>
      <c r="AD193" s="25">
        <v>4.03</v>
      </c>
      <c r="AE193" s="28"/>
      <c r="AF193" s="28"/>
      <c r="AG193" s="25">
        <v>8</v>
      </c>
      <c r="AH193" s="25">
        <v>2.8839999999999999</v>
      </c>
      <c r="AI193" s="28"/>
      <c r="AJ193" s="28"/>
      <c r="AK193" s="25">
        <v>8</v>
      </c>
      <c r="AL193" s="25">
        <v>3.0649999999999999</v>
      </c>
      <c r="AM193" s="28"/>
      <c r="AN193" s="28"/>
      <c r="AO193" s="28"/>
      <c r="AP193" s="28"/>
    </row>
    <row r="194" spans="1:42" s="25" customFormat="1" ht="20.25" customHeight="1" x14ac:dyDescent="0.45">
      <c r="A194" s="30" t="s">
        <v>17</v>
      </c>
      <c r="B194" s="25">
        <f>B184+B185+B186+B187+B188+B189+B190+B191+B192+B193</f>
        <v>34</v>
      </c>
      <c r="C194" s="25">
        <f>C184+C185+C186+C187+C188+C189+C190+C191+C192+C193</f>
        <v>19</v>
      </c>
      <c r="F194" s="25">
        <f>F184+F185+F186+F187+F188+F189+F190+F191+F192+F193</f>
        <v>13</v>
      </c>
      <c r="G194" s="25">
        <f>G184+G185+G186+G187+G188+G189+G190+G191+G192+G193</f>
        <v>30</v>
      </c>
      <c r="Y194" s="25">
        <v>9</v>
      </c>
      <c r="Z194" s="25">
        <v>6.0519999999999996</v>
      </c>
      <c r="AA194" s="25">
        <f>Z195/Z194</f>
        <v>0.82452081956378065</v>
      </c>
      <c r="AB194" s="28"/>
      <c r="AC194" s="25">
        <v>9</v>
      </c>
      <c r="AD194" s="25">
        <v>13.468</v>
      </c>
      <c r="AE194" s="25">
        <f>AD195/AD194</f>
        <v>0.2067864567864568</v>
      </c>
      <c r="AF194" s="28"/>
      <c r="AG194" s="25">
        <v>9</v>
      </c>
      <c r="AH194" s="25">
        <v>6.8470000000000004</v>
      </c>
      <c r="AI194" s="25">
        <f>AH195/AH194</f>
        <v>0.68117423689206946</v>
      </c>
      <c r="AJ194" s="28"/>
      <c r="AK194" s="25">
        <v>9</v>
      </c>
      <c r="AL194" s="25">
        <v>7.89</v>
      </c>
      <c r="AM194" s="25">
        <f>AL195/AL194</f>
        <v>0.77008871989860583</v>
      </c>
      <c r="AN194" s="28"/>
      <c r="AO194" s="28"/>
      <c r="AP194" s="28"/>
    </row>
    <row r="195" spans="1:42" s="25" customFormat="1" ht="20.25" customHeight="1" x14ac:dyDescent="0.45">
      <c r="A195" s="30" t="s">
        <v>10</v>
      </c>
      <c r="B195" s="25" t="s">
        <v>15</v>
      </c>
      <c r="C195" s="25" t="s">
        <v>16</v>
      </c>
      <c r="E195" s="25" t="s">
        <v>8</v>
      </c>
      <c r="F195" s="25" t="s">
        <v>15</v>
      </c>
      <c r="G195" s="25" t="s">
        <v>16</v>
      </c>
      <c r="Y195" s="25">
        <v>10</v>
      </c>
      <c r="Z195" s="25">
        <v>4.99</v>
      </c>
      <c r="AA195" s="28"/>
      <c r="AB195" s="28"/>
      <c r="AC195" s="25">
        <v>10</v>
      </c>
      <c r="AD195" s="25">
        <v>2.7850000000000001</v>
      </c>
      <c r="AE195" s="28"/>
      <c r="AF195" s="28"/>
      <c r="AG195" s="25">
        <v>10</v>
      </c>
      <c r="AH195" s="25">
        <v>4.6639999999999997</v>
      </c>
      <c r="AI195" s="28"/>
      <c r="AJ195" s="28"/>
      <c r="AK195" s="25">
        <v>10</v>
      </c>
      <c r="AL195" s="25">
        <v>6.0759999999999996</v>
      </c>
      <c r="AM195" s="28"/>
      <c r="AN195" s="28"/>
      <c r="AO195" s="28"/>
      <c r="AP195" s="28"/>
    </row>
    <row r="196" spans="1:42" s="25" customFormat="1" ht="20.25" customHeight="1" x14ac:dyDescent="0.45">
      <c r="A196" s="30" t="s">
        <v>53</v>
      </c>
      <c r="B196" s="25">
        <v>3</v>
      </c>
      <c r="C196" s="25">
        <v>1</v>
      </c>
      <c r="F196" s="25">
        <v>4</v>
      </c>
      <c r="G196" s="25">
        <v>1</v>
      </c>
      <c r="Y196" s="25">
        <v>11</v>
      </c>
      <c r="Z196" s="25">
        <v>5.8780000000000001</v>
      </c>
      <c r="AA196" s="25">
        <f>Z196/Z197</f>
        <v>0.97657418175776711</v>
      </c>
      <c r="AB196" s="28"/>
      <c r="AC196" s="25">
        <v>11</v>
      </c>
      <c r="AD196" s="25">
        <v>10.069000000000001</v>
      </c>
      <c r="AE196" s="25">
        <f>AD197/AD196</f>
        <v>0.33558446717648227</v>
      </c>
      <c r="AF196" s="28"/>
      <c r="AG196" s="25">
        <v>11</v>
      </c>
      <c r="AH196" s="25">
        <v>10.253</v>
      </c>
      <c r="AI196" s="25">
        <f>AH197/AH196</f>
        <v>0.61474690334536231</v>
      </c>
      <c r="AJ196" s="28"/>
      <c r="AK196" s="25">
        <v>11</v>
      </c>
      <c r="AL196" s="25">
        <v>7.1</v>
      </c>
      <c r="AM196" s="25">
        <f>AL197/AL196</f>
        <v>0.39</v>
      </c>
      <c r="AN196" s="28"/>
      <c r="AO196" s="28"/>
      <c r="AP196" s="28"/>
    </row>
    <row r="197" spans="1:42" s="25" customFormat="1" ht="20.25" customHeight="1" x14ac:dyDescent="0.45">
      <c r="A197" s="26"/>
      <c r="B197" s="25">
        <v>4</v>
      </c>
      <c r="C197" s="25">
        <v>1</v>
      </c>
      <c r="F197" s="25">
        <v>0</v>
      </c>
      <c r="G197" s="25">
        <v>4</v>
      </c>
      <c r="Y197" s="25">
        <v>12</v>
      </c>
      <c r="Z197" s="25">
        <v>6.0190000000000001</v>
      </c>
      <c r="AA197" s="28"/>
      <c r="AB197" s="28"/>
      <c r="AC197" s="25">
        <v>12</v>
      </c>
      <c r="AD197" s="25">
        <v>3.379</v>
      </c>
      <c r="AE197" s="28"/>
      <c r="AF197" s="28"/>
      <c r="AG197" s="25">
        <v>12</v>
      </c>
      <c r="AH197" s="25">
        <v>6.3029999999999999</v>
      </c>
      <c r="AI197" s="28"/>
      <c r="AJ197" s="28"/>
      <c r="AK197" s="25">
        <v>12</v>
      </c>
      <c r="AL197" s="25">
        <v>2.7690000000000001</v>
      </c>
      <c r="AM197" s="28"/>
      <c r="AN197" s="28"/>
      <c r="AO197" s="28"/>
      <c r="AP197" s="28"/>
    </row>
    <row r="198" spans="1:42" s="25" customFormat="1" ht="20.25" customHeight="1" x14ac:dyDescent="0.45">
      <c r="A198" s="26"/>
      <c r="B198" s="25">
        <v>4</v>
      </c>
      <c r="C198" s="25">
        <v>1</v>
      </c>
      <c r="F198" s="25">
        <v>1</v>
      </c>
      <c r="G198" s="25">
        <v>3</v>
      </c>
      <c r="Y198" s="25">
        <v>13</v>
      </c>
      <c r="Z198" s="25">
        <v>7.7050000000000001</v>
      </c>
      <c r="AA198" s="25">
        <f>Z199/Z198</f>
        <v>0.90317975340687862</v>
      </c>
      <c r="AB198" s="28"/>
      <c r="AC198" s="25">
        <v>13</v>
      </c>
      <c r="AD198" s="25">
        <v>9.5069999999999997</v>
      </c>
      <c r="AE198" s="25">
        <f>AD199/AD198</f>
        <v>0.2937835279267908</v>
      </c>
      <c r="AF198" s="28"/>
      <c r="AG198" s="25">
        <v>13</v>
      </c>
      <c r="AH198" s="25">
        <v>9.1349999999999998</v>
      </c>
      <c r="AI198" s="25">
        <f>AH199/AH198</f>
        <v>0.57482211275314732</v>
      </c>
      <c r="AJ198" s="28"/>
      <c r="AK198" s="25">
        <v>13</v>
      </c>
      <c r="AL198" s="25">
        <v>8.7279999999999998</v>
      </c>
      <c r="AM198" s="25">
        <f>AL199/AL198</f>
        <v>0.48968835930339139</v>
      </c>
      <c r="AN198" s="28"/>
      <c r="AO198" s="28"/>
      <c r="AP198" s="28"/>
    </row>
    <row r="199" spans="1:42" s="25" customFormat="1" ht="20.25" customHeight="1" x14ac:dyDescent="0.45">
      <c r="A199" s="26"/>
      <c r="B199" s="25">
        <v>3</v>
      </c>
      <c r="C199" s="25">
        <v>2</v>
      </c>
      <c r="F199" s="25">
        <v>1</v>
      </c>
      <c r="G199" s="25">
        <v>3</v>
      </c>
      <c r="Y199" s="25">
        <v>14</v>
      </c>
      <c r="Z199" s="25">
        <v>6.9589999999999996</v>
      </c>
      <c r="AA199" s="28"/>
      <c r="AB199" s="28"/>
      <c r="AC199" s="25">
        <v>14</v>
      </c>
      <c r="AD199" s="25">
        <v>2.7930000000000001</v>
      </c>
      <c r="AE199" s="28"/>
      <c r="AF199" s="28"/>
      <c r="AG199" s="25">
        <v>14</v>
      </c>
      <c r="AH199" s="25">
        <v>5.2510000000000003</v>
      </c>
      <c r="AI199" s="28"/>
      <c r="AJ199" s="28"/>
      <c r="AK199" s="25">
        <v>14</v>
      </c>
      <c r="AL199" s="25">
        <v>4.274</v>
      </c>
      <c r="AM199" s="28"/>
      <c r="AN199" s="28"/>
      <c r="AO199" s="28"/>
      <c r="AP199" s="28"/>
    </row>
    <row r="200" spans="1:42" s="25" customFormat="1" ht="20.25" customHeight="1" x14ac:dyDescent="0.45">
      <c r="A200" s="26"/>
      <c r="B200" s="25">
        <v>2</v>
      </c>
      <c r="C200" s="25">
        <v>2</v>
      </c>
      <c r="F200" s="25">
        <v>2</v>
      </c>
      <c r="G200" s="25">
        <v>2</v>
      </c>
      <c r="Y200" s="25">
        <v>15</v>
      </c>
      <c r="Z200" s="25">
        <v>8.5329999999999995</v>
      </c>
      <c r="AA200" s="25">
        <f>Z201/Z200</f>
        <v>0.48646431501230519</v>
      </c>
      <c r="AB200" s="28"/>
      <c r="AC200" s="25">
        <v>15</v>
      </c>
      <c r="AD200" s="25">
        <v>6.6550000000000002</v>
      </c>
      <c r="AE200" s="25">
        <f>AD201/AD200</f>
        <v>0.59338842975206607</v>
      </c>
      <c r="AF200" s="28"/>
      <c r="AG200" s="25">
        <v>15</v>
      </c>
      <c r="AH200" s="25">
        <v>8.5129999999999999</v>
      </c>
      <c r="AI200" s="25">
        <f>AH201/AH200</f>
        <v>0.8780688358980383</v>
      </c>
      <c r="AJ200" s="28"/>
      <c r="AK200" s="25">
        <v>15</v>
      </c>
      <c r="AL200" s="25">
        <v>8.1189999999999998</v>
      </c>
      <c r="AM200" s="25">
        <f>AL201/AL200</f>
        <v>0.34105185367656116</v>
      </c>
      <c r="AN200" s="28"/>
      <c r="AO200" s="28"/>
      <c r="AP200" s="28"/>
    </row>
    <row r="201" spans="1:42" s="25" customFormat="1" ht="20.25" customHeight="1" x14ac:dyDescent="0.45">
      <c r="A201" s="26"/>
      <c r="B201" s="25">
        <v>4</v>
      </c>
      <c r="C201" s="25">
        <v>1</v>
      </c>
      <c r="F201" s="25">
        <v>3</v>
      </c>
      <c r="G201" s="25">
        <v>1</v>
      </c>
      <c r="Y201" s="25">
        <v>16</v>
      </c>
      <c r="Z201" s="25">
        <v>4.1509999999999998</v>
      </c>
      <c r="AA201" s="28"/>
      <c r="AB201" s="28"/>
      <c r="AC201" s="25">
        <v>16</v>
      </c>
      <c r="AD201" s="25">
        <v>3.9489999999999998</v>
      </c>
      <c r="AE201" s="28"/>
      <c r="AF201" s="28"/>
      <c r="AG201" s="25">
        <v>16</v>
      </c>
      <c r="AH201" s="25">
        <v>7.4749999999999996</v>
      </c>
      <c r="AI201" s="28"/>
      <c r="AJ201" s="28"/>
      <c r="AK201" s="25">
        <v>16</v>
      </c>
      <c r="AL201" s="25">
        <v>2.7690000000000001</v>
      </c>
      <c r="AM201" s="28"/>
      <c r="AN201" s="28"/>
      <c r="AO201" s="28"/>
      <c r="AP201" s="28"/>
    </row>
    <row r="202" spans="1:42" s="25" customFormat="1" ht="20.25" customHeight="1" x14ac:dyDescent="0.45">
      <c r="A202" s="26"/>
      <c r="B202" s="25">
        <v>2</v>
      </c>
      <c r="C202" s="25">
        <v>1</v>
      </c>
      <c r="F202" s="25">
        <v>1</v>
      </c>
      <c r="G202" s="25">
        <v>1</v>
      </c>
      <c r="Y202" s="25">
        <v>17</v>
      </c>
      <c r="Z202" s="25">
        <v>6.3940000000000001</v>
      </c>
      <c r="AA202" s="25">
        <f>Z203/Z202</f>
        <v>0.66922114482327177</v>
      </c>
      <c r="AB202" s="28"/>
      <c r="AC202" s="25">
        <v>17</v>
      </c>
      <c r="AD202" s="25">
        <v>5.2549999999999999</v>
      </c>
      <c r="AE202" s="25">
        <f>AD202/AD203</f>
        <v>0.72482758620689658</v>
      </c>
      <c r="AF202" s="28"/>
      <c r="AG202" s="25">
        <v>17</v>
      </c>
      <c r="AH202" s="25">
        <v>9.266</v>
      </c>
      <c r="AI202" s="25">
        <f>AH203/AH202</f>
        <v>0.48100582775739259</v>
      </c>
      <c r="AJ202" s="28"/>
      <c r="AK202" s="25">
        <v>17</v>
      </c>
      <c r="AL202" s="25">
        <v>10.603999999999999</v>
      </c>
      <c r="AM202" s="25">
        <f>AL203/AL202</f>
        <v>0.4161637118068654</v>
      </c>
      <c r="AN202" s="28"/>
      <c r="AO202" s="28"/>
      <c r="AP202" s="28"/>
    </row>
    <row r="203" spans="1:42" s="25" customFormat="1" ht="20.25" customHeight="1" x14ac:dyDescent="0.45">
      <c r="A203" s="26"/>
      <c r="B203" s="25">
        <v>2</v>
      </c>
      <c r="C203" s="25">
        <v>2</v>
      </c>
      <c r="F203" s="25">
        <v>0</v>
      </c>
      <c r="G203" s="25">
        <v>4</v>
      </c>
      <c r="Y203" s="25">
        <v>18</v>
      </c>
      <c r="Z203" s="25">
        <v>4.2789999999999999</v>
      </c>
      <c r="AA203" s="28"/>
      <c r="AB203" s="28"/>
      <c r="AC203" s="25">
        <v>18</v>
      </c>
      <c r="AD203" s="25">
        <v>7.25</v>
      </c>
      <c r="AE203" s="28"/>
      <c r="AF203" s="28"/>
      <c r="AG203" s="25">
        <v>18</v>
      </c>
      <c r="AH203" s="25">
        <v>4.4569999999999999</v>
      </c>
      <c r="AI203" s="28"/>
      <c r="AJ203" s="28"/>
      <c r="AK203" s="25">
        <v>18</v>
      </c>
      <c r="AL203" s="25">
        <v>4.4130000000000003</v>
      </c>
      <c r="AM203" s="28"/>
      <c r="AN203" s="28"/>
      <c r="AO203" s="28"/>
      <c r="AP203" s="28"/>
    </row>
    <row r="204" spans="1:42" s="25" customFormat="1" ht="20.25" customHeight="1" x14ac:dyDescent="0.45">
      <c r="A204" s="26"/>
      <c r="B204" s="25">
        <v>3</v>
      </c>
      <c r="C204" s="25">
        <v>1</v>
      </c>
      <c r="F204" s="25">
        <v>1</v>
      </c>
      <c r="G204" s="25">
        <v>3</v>
      </c>
      <c r="Y204" s="25">
        <v>19</v>
      </c>
      <c r="Z204" s="25">
        <v>4.2789999999999999</v>
      </c>
      <c r="AA204" s="25">
        <f>Z204/Z205</f>
        <v>0.54767694867528482</v>
      </c>
      <c r="AB204" s="28"/>
      <c r="AC204" s="25">
        <v>19</v>
      </c>
      <c r="AD204" s="25">
        <v>10.571999999999999</v>
      </c>
      <c r="AE204" s="25">
        <f>AD205/AD204</f>
        <v>0.3219825955353765</v>
      </c>
      <c r="AF204" s="28"/>
      <c r="AG204" s="25">
        <v>19</v>
      </c>
      <c r="AH204" s="25">
        <v>8.3670000000000009</v>
      </c>
      <c r="AI204" s="25">
        <f>AH205/AH204</f>
        <v>0.4527309668937492</v>
      </c>
      <c r="AJ204" s="28"/>
      <c r="AK204" s="25">
        <v>19</v>
      </c>
      <c r="AL204" s="25">
        <v>13.923999999999999</v>
      </c>
      <c r="AM204" s="25">
        <f>AL205/AL204</f>
        <v>0.34415397874174086</v>
      </c>
      <c r="AN204" s="28"/>
      <c r="AO204" s="28"/>
      <c r="AP204" s="28"/>
    </row>
    <row r="205" spans="1:42" s="25" customFormat="1" ht="20.25" customHeight="1" x14ac:dyDescent="0.45">
      <c r="A205" s="26"/>
      <c r="B205" s="25">
        <v>2</v>
      </c>
      <c r="C205" s="25">
        <v>2</v>
      </c>
      <c r="F205" s="25">
        <v>0</v>
      </c>
      <c r="G205" s="25">
        <v>4</v>
      </c>
      <c r="Y205" s="25">
        <v>20</v>
      </c>
      <c r="Z205" s="25">
        <v>7.8129999999999997</v>
      </c>
      <c r="AA205" s="28"/>
      <c r="AB205" s="28"/>
      <c r="AC205" s="25">
        <v>20</v>
      </c>
      <c r="AD205" s="25">
        <v>3.4039999999999999</v>
      </c>
      <c r="AE205" s="28"/>
      <c r="AF205" s="28"/>
      <c r="AG205" s="25">
        <v>20</v>
      </c>
      <c r="AH205" s="25">
        <v>3.7879999999999998</v>
      </c>
      <c r="AI205" s="28"/>
      <c r="AJ205" s="28"/>
      <c r="AK205" s="25">
        <v>20</v>
      </c>
      <c r="AL205" s="25">
        <v>4.7919999999999998</v>
      </c>
      <c r="AM205" s="28"/>
      <c r="AN205" s="28"/>
      <c r="AO205" s="28"/>
      <c r="AP205" s="28"/>
    </row>
    <row r="206" spans="1:42" s="25" customFormat="1" ht="20.25" customHeight="1" x14ac:dyDescent="0.45">
      <c r="A206" s="30" t="s">
        <v>17</v>
      </c>
      <c r="B206" s="25">
        <f>B196+B197+B198+B199+B200+B201+B202+B203+B204+B205</f>
        <v>29</v>
      </c>
      <c r="C206" s="25">
        <f>C196+C197+C198+C199+C200+C201+C202+C203+C204+C205</f>
        <v>14</v>
      </c>
      <c r="F206" s="25">
        <f>F196+F197+F198+F199+F200+F201+F202+F203+F204+F205</f>
        <v>13</v>
      </c>
      <c r="G206" s="25">
        <f>G196+G197+G198+G199+G200+G201+G202+G203+G204+G205</f>
        <v>26</v>
      </c>
      <c r="Y206" s="25" t="s">
        <v>17</v>
      </c>
      <c r="AA206" s="25">
        <f>SUM(AA186:AA205)</f>
        <v>7.0664732351690462</v>
      </c>
      <c r="AE206" s="25">
        <f>SUM(AE186:AE205)</f>
        <v>4.597581636665474</v>
      </c>
      <c r="AI206" s="25">
        <f>SUM(AI186:AI205)</f>
        <v>6.082633051027269</v>
      </c>
      <c r="AM206" s="25">
        <f>SUM(AM186:AM205)</f>
        <v>4.7318721318338151</v>
      </c>
    </row>
    <row r="207" spans="1:42" s="25" customFormat="1" ht="20.25" customHeight="1" x14ac:dyDescent="0.45">
      <c r="A207" s="30" t="s">
        <v>10</v>
      </c>
      <c r="B207" s="25" t="s">
        <v>15</v>
      </c>
      <c r="C207" s="25" t="s">
        <v>16</v>
      </c>
      <c r="E207" s="25" t="s">
        <v>8</v>
      </c>
      <c r="F207" s="25" t="s">
        <v>15</v>
      </c>
      <c r="G207" s="25" t="s">
        <v>16</v>
      </c>
    </row>
    <row r="208" spans="1:42" s="25" customFormat="1" ht="20.25" customHeight="1" x14ac:dyDescent="0.45">
      <c r="A208" s="30" t="s">
        <v>38</v>
      </c>
      <c r="B208" s="25">
        <v>2</v>
      </c>
      <c r="C208" s="25">
        <v>2</v>
      </c>
      <c r="Y208" s="25" t="s">
        <v>54</v>
      </c>
      <c r="AG208" s="25" t="s">
        <v>55</v>
      </c>
    </row>
    <row r="209" spans="1:42" s="25" customFormat="1" ht="20.25" customHeight="1" x14ac:dyDescent="0.45">
      <c r="A209" s="26"/>
      <c r="B209" s="25">
        <v>0</v>
      </c>
      <c r="C209" s="25">
        <v>4</v>
      </c>
      <c r="Y209" s="25">
        <v>1</v>
      </c>
      <c r="Z209" s="25">
        <v>5.7560000000000002</v>
      </c>
      <c r="AA209" s="25">
        <f>Z209/Z210</f>
        <v>0.76501860712387026</v>
      </c>
      <c r="AB209" s="28"/>
      <c r="AC209" s="25">
        <v>1</v>
      </c>
      <c r="AD209" s="25">
        <v>13.11</v>
      </c>
      <c r="AE209" s="25">
        <f>AD210/AD209</f>
        <v>0.24118993135011443</v>
      </c>
      <c r="AF209" s="28"/>
      <c r="AG209" s="25">
        <v>1</v>
      </c>
      <c r="AH209" s="25">
        <v>8.1059999999999999</v>
      </c>
      <c r="AI209" s="25">
        <f>AH210/AH209</f>
        <v>0.71749321490254137</v>
      </c>
      <c r="AJ209" s="28"/>
      <c r="AK209" s="25">
        <v>1</v>
      </c>
      <c r="AL209" s="25">
        <v>8.4670000000000005</v>
      </c>
      <c r="AM209" s="25">
        <f>AL210/AL209</f>
        <v>0.39907877642612494</v>
      </c>
      <c r="AN209" s="28"/>
      <c r="AO209" s="28"/>
      <c r="AP209" s="28"/>
    </row>
    <row r="210" spans="1:42" s="25" customFormat="1" ht="20.25" customHeight="1" x14ac:dyDescent="0.45">
      <c r="A210" s="26"/>
      <c r="B210" s="25">
        <v>1</v>
      </c>
      <c r="C210" s="25">
        <v>1</v>
      </c>
      <c r="Y210" s="25">
        <v>2</v>
      </c>
      <c r="Z210" s="25">
        <v>7.524</v>
      </c>
      <c r="AA210" s="28"/>
      <c r="AB210" s="28"/>
      <c r="AC210" s="25">
        <v>2</v>
      </c>
      <c r="AD210" s="25">
        <v>3.1619999999999999</v>
      </c>
      <c r="AE210" s="28"/>
      <c r="AF210" s="28"/>
      <c r="AG210" s="25">
        <v>2</v>
      </c>
      <c r="AH210" s="25">
        <v>5.8159999999999998</v>
      </c>
      <c r="AI210" s="28"/>
      <c r="AJ210" s="28"/>
      <c r="AK210" s="25">
        <v>2</v>
      </c>
      <c r="AL210" s="25">
        <v>3.379</v>
      </c>
      <c r="AM210" s="28"/>
      <c r="AN210" s="28"/>
      <c r="AO210" s="28"/>
      <c r="AP210" s="28"/>
    </row>
    <row r="211" spans="1:42" s="25" customFormat="1" ht="20.25" customHeight="1" x14ac:dyDescent="0.45">
      <c r="A211" s="26"/>
      <c r="B211" s="25">
        <v>2</v>
      </c>
      <c r="C211" s="25">
        <v>3</v>
      </c>
      <c r="Y211" s="25">
        <v>3</v>
      </c>
      <c r="Z211" s="25">
        <v>10.016999999999999</v>
      </c>
      <c r="AA211" s="25">
        <f>Z212/Z211</f>
        <v>0.42667465308974745</v>
      </c>
      <c r="AB211" s="28"/>
      <c r="AC211" s="25">
        <v>3</v>
      </c>
      <c r="AD211" s="25">
        <v>7.78</v>
      </c>
      <c r="AE211" s="25">
        <f>AD212/AD211</f>
        <v>0.62969151670951151</v>
      </c>
      <c r="AF211" s="28"/>
      <c r="AG211" s="25">
        <v>3</v>
      </c>
      <c r="AH211" s="25">
        <v>6.9119999999999999</v>
      </c>
      <c r="AI211" s="25">
        <f>AH212/AH211</f>
        <v>0.48885995370370372</v>
      </c>
      <c r="AJ211" s="28"/>
      <c r="AK211" s="25">
        <v>3</v>
      </c>
      <c r="AL211" s="25">
        <v>7.4980000000000002</v>
      </c>
      <c r="AM211" s="25">
        <f>AL212/AL211</f>
        <v>0.41517738063483595</v>
      </c>
      <c r="AN211" s="28"/>
      <c r="AO211" s="28"/>
      <c r="AP211" s="28"/>
    </row>
    <row r="212" spans="1:42" s="25" customFormat="1" ht="20.25" customHeight="1" x14ac:dyDescent="0.45">
      <c r="A212" s="26"/>
      <c r="B212" s="25">
        <v>2</v>
      </c>
      <c r="C212" s="25">
        <v>2</v>
      </c>
      <c r="Y212" s="25">
        <v>4</v>
      </c>
      <c r="Z212" s="25">
        <v>4.274</v>
      </c>
      <c r="AA212" s="28"/>
      <c r="AB212" s="28"/>
      <c r="AC212" s="25">
        <v>4</v>
      </c>
      <c r="AD212" s="25">
        <v>4.899</v>
      </c>
      <c r="AE212" s="28"/>
      <c r="AF212" s="28"/>
      <c r="AG212" s="25">
        <v>4</v>
      </c>
      <c r="AH212" s="25">
        <v>3.379</v>
      </c>
      <c r="AI212" s="28"/>
      <c r="AJ212" s="28"/>
      <c r="AK212" s="25">
        <v>4</v>
      </c>
      <c r="AL212" s="25">
        <v>3.113</v>
      </c>
      <c r="AM212" s="28"/>
      <c r="AN212" s="28"/>
      <c r="AO212" s="28"/>
      <c r="AP212" s="28"/>
    </row>
    <row r="213" spans="1:42" s="25" customFormat="1" ht="20.25" customHeight="1" x14ac:dyDescent="0.45">
      <c r="A213" s="26"/>
      <c r="B213" s="25">
        <v>1</v>
      </c>
      <c r="C213" s="25">
        <v>2</v>
      </c>
      <c r="Y213" s="25">
        <v>5</v>
      </c>
      <c r="Z213" s="25">
        <v>11.102</v>
      </c>
      <c r="AA213" s="25">
        <f>Z214/Z213</f>
        <v>0.3683120158529995</v>
      </c>
      <c r="AB213" s="28"/>
      <c r="AC213" s="25">
        <v>5</v>
      </c>
      <c r="AD213" s="25">
        <v>5.8780000000000001</v>
      </c>
      <c r="AE213" s="25">
        <f>AD213/AD214</f>
        <v>0.92903429745535016</v>
      </c>
      <c r="AF213" s="28"/>
      <c r="AG213" s="25">
        <v>5</v>
      </c>
      <c r="AH213" s="25">
        <v>8.5510000000000002</v>
      </c>
      <c r="AI213" s="25">
        <f>AH214/AH213</f>
        <v>0.51210384750321591</v>
      </c>
      <c r="AJ213" s="28"/>
      <c r="AK213" s="25">
        <v>5</v>
      </c>
      <c r="AL213" s="25">
        <v>13.493</v>
      </c>
      <c r="AM213" s="25">
        <f>AL214/AL213</f>
        <v>0.29593122359742086</v>
      </c>
      <c r="AN213" s="28"/>
      <c r="AO213" s="28"/>
      <c r="AP213" s="28"/>
    </row>
    <row r="214" spans="1:42" s="25" customFormat="1" ht="20.25" customHeight="1" x14ac:dyDescent="0.45">
      <c r="A214" s="26"/>
      <c r="B214" s="25">
        <v>2</v>
      </c>
      <c r="C214" s="25">
        <v>2</v>
      </c>
      <c r="Y214" s="25">
        <v>6</v>
      </c>
      <c r="Z214" s="25">
        <v>4.0890000000000004</v>
      </c>
      <c r="AA214" s="28"/>
      <c r="AB214" s="28"/>
      <c r="AC214" s="25">
        <v>6</v>
      </c>
      <c r="AD214" s="25">
        <v>6.327</v>
      </c>
      <c r="AE214" s="28"/>
      <c r="AF214" s="28"/>
      <c r="AG214" s="25">
        <v>6</v>
      </c>
      <c r="AH214" s="25">
        <v>4.3789999999999996</v>
      </c>
      <c r="AI214" s="28"/>
      <c r="AJ214" s="28"/>
      <c r="AK214" s="25">
        <v>6</v>
      </c>
      <c r="AL214" s="25">
        <v>3.9929999999999999</v>
      </c>
      <c r="AM214" s="28"/>
      <c r="AN214" s="28"/>
      <c r="AO214" s="28"/>
      <c r="AP214" s="28"/>
    </row>
    <row r="215" spans="1:42" s="25" customFormat="1" ht="20.25" customHeight="1" x14ac:dyDescent="0.45">
      <c r="A215" s="26"/>
      <c r="B215" s="25">
        <v>2</v>
      </c>
      <c r="C215" s="25">
        <v>2</v>
      </c>
      <c r="Y215" s="25">
        <v>7</v>
      </c>
      <c r="Z215" s="25">
        <v>8.3960000000000008</v>
      </c>
      <c r="AA215" s="25">
        <f>Z216/Z215</f>
        <v>0.47236779418770841</v>
      </c>
      <c r="AB215" s="28"/>
      <c r="AC215" s="25">
        <v>7</v>
      </c>
      <c r="AD215" s="25">
        <v>5.875</v>
      </c>
      <c r="AE215" s="25">
        <f>AD215/AD216</f>
        <v>0.43882581416193606</v>
      </c>
      <c r="AF215" s="28"/>
      <c r="AG215" s="25">
        <v>7</v>
      </c>
      <c r="AH215" s="25">
        <v>6.5970000000000004</v>
      </c>
      <c r="AI215" s="25">
        <f>AH216/AH215</f>
        <v>0.7174473245414581</v>
      </c>
      <c r="AJ215" s="28"/>
      <c r="AK215" s="25">
        <v>7</v>
      </c>
      <c r="AL215" s="25">
        <v>7.157</v>
      </c>
      <c r="AM215" s="25">
        <f>AL216/AL215</f>
        <v>0.56015090121559319</v>
      </c>
      <c r="AN215" s="28"/>
      <c r="AO215" s="28"/>
      <c r="AP215" s="28"/>
    </row>
    <row r="216" spans="1:42" s="25" customFormat="1" ht="20.25" customHeight="1" x14ac:dyDescent="0.45">
      <c r="A216" s="26"/>
      <c r="B216" s="25">
        <v>2</v>
      </c>
      <c r="C216" s="25">
        <v>3</v>
      </c>
      <c r="Y216" s="25">
        <v>8</v>
      </c>
      <c r="Z216" s="25">
        <v>3.9660000000000002</v>
      </c>
      <c r="AA216" s="28"/>
      <c r="AB216" s="28"/>
      <c r="AC216" s="25">
        <v>8</v>
      </c>
      <c r="AD216" s="25">
        <v>13.388</v>
      </c>
      <c r="AE216" s="28"/>
      <c r="AF216" s="28"/>
      <c r="AG216" s="25">
        <v>8</v>
      </c>
      <c r="AH216" s="25">
        <v>4.7329999999999997</v>
      </c>
      <c r="AI216" s="28"/>
      <c r="AJ216" s="28"/>
      <c r="AK216" s="25">
        <v>8</v>
      </c>
      <c r="AL216" s="25">
        <v>4.0090000000000003</v>
      </c>
      <c r="AM216" s="28"/>
      <c r="AN216" s="28"/>
      <c r="AO216" s="28"/>
      <c r="AP216" s="28"/>
    </row>
    <row r="217" spans="1:42" s="25" customFormat="1" ht="20.25" customHeight="1" x14ac:dyDescent="0.45">
      <c r="A217" s="26"/>
      <c r="B217" s="25">
        <v>4</v>
      </c>
      <c r="C217" s="25">
        <v>0</v>
      </c>
      <c r="Y217" s="25">
        <v>9</v>
      </c>
      <c r="Z217" s="25">
        <v>4.8630000000000004</v>
      </c>
      <c r="AA217" s="25">
        <f>Z217/Z218</f>
        <v>0.92823057835464795</v>
      </c>
      <c r="AB217" s="28"/>
      <c r="AC217" s="25">
        <v>9</v>
      </c>
      <c r="AD217" s="25">
        <v>4.899</v>
      </c>
      <c r="AE217" s="25">
        <f>AD218/AD217</f>
        <v>0.57624004898958969</v>
      </c>
      <c r="AF217" s="28"/>
      <c r="AG217" s="25">
        <v>9</v>
      </c>
      <c r="AH217" s="25">
        <v>7.085</v>
      </c>
      <c r="AI217" s="25">
        <f>AH218/AH217</f>
        <v>0.52731122088920257</v>
      </c>
      <c r="AJ217" s="28"/>
      <c r="AK217" s="25">
        <v>9</v>
      </c>
      <c r="AL217" s="25">
        <v>10.137</v>
      </c>
      <c r="AM217" s="25">
        <f>AL218/AL217</f>
        <v>0.54523034428331851</v>
      </c>
      <c r="AN217" s="28"/>
      <c r="AO217" s="28"/>
      <c r="AP217" s="28"/>
    </row>
    <row r="218" spans="1:42" s="25" customFormat="1" ht="20.25" customHeight="1" x14ac:dyDescent="0.45">
      <c r="A218" s="30" t="s">
        <v>17</v>
      </c>
      <c r="B218" s="25">
        <f>B208+B209+B210+B211+B212+B213+B214+B215+B216+B217</f>
        <v>18</v>
      </c>
      <c r="C218" s="25">
        <f>C208+C209+C210+C211+C212+C213+C214+C215+C216+C217</f>
        <v>21</v>
      </c>
      <c r="Y218" s="25">
        <v>10</v>
      </c>
      <c r="Z218" s="25">
        <v>5.2389999999999999</v>
      </c>
      <c r="AA218" s="28"/>
      <c r="AB218" s="28"/>
      <c r="AC218" s="25">
        <v>10</v>
      </c>
      <c r="AD218" s="25">
        <v>2.823</v>
      </c>
      <c r="AE218" s="28"/>
      <c r="AF218" s="28"/>
      <c r="AG218" s="25">
        <v>10</v>
      </c>
      <c r="AH218" s="25">
        <v>3.7360000000000002</v>
      </c>
      <c r="AI218" s="28"/>
      <c r="AJ218" s="28"/>
      <c r="AK218" s="25">
        <v>10</v>
      </c>
      <c r="AL218" s="25">
        <v>5.5270000000000001</v>
      </c>
      <c r="AM218" s="28"/>
      <c r="AN218" s="28"/>
      <c r="AO218" s="28"/>
      <c r="AP218" s="28"/>
    </row>
    <row r="219" spans="1:42" s="25" customFormat="1" ht="20.25" customHeight="1" x14ac:dyDescent="0.45">
      <c r="A219" s="30" t="s">
        <v>10</v>
      </c>
      <c r="B219" s="25" t="s">
        <v>15</v>
      </c>
      <c r="C219" s="25" t="s">
        <v>16</v>
      </c>
      <c r="E219" s="25" t="s">
        <v>8</v>
      </c>
      <c r="F219" s="25" t="s">
        <v>15</v>
      </c>
      <c r="G219" s="25" t="s">
        <v>16</v>
      </c>
      <c r="Y219" s="25">
        <v>11</v>
      </c>
      <c r="Z219" s="25">
        <v>6.6449999999999996</v>
      </c>
      <c r="AA219" s="25">
        <f>Z220/Z219</f>
        <v>0.64394281414597443</v>
      </c>
      <c r="AB219" s="28"/>
      <c r="AC219" s="25">
        <v>11</v>
      </c>
      <c r="AD219" s="25">
        <v>12.05</v>
      </c>
      <c r="AE219" s="25">
        <f>AD220/AD219</f>
        <v>0.24481327800829875</v>
      </c>
      <c r="AF219" s="28"/>
      <c r="AG219" s="25">
        <v>11</v>
      </c>
      <c r="AH219" s="25">
        <v>9.1890000000000001</v>
      </c>
      <c r="AI219" s="25">
        <f>AH220/AH219</f>
        <v>0.48503645663293066</v>
      </c>
      <c r="AJ219" s="28"/>
      <c r="AK219" s="25">
        <v>11</v>
      </c>
      <c r="AL219" s="25">
        <v>10.795</v>
      </c>
      <c r="AM219" s="25">
        <f>AL220/AL219</f>
        <v>0.2773506252894859</v>
      </c>
      <c r="AN219" s="28"/>
      <c r="AO219" s="28"/>
      <c r="AP219" s="28"/>
    </row>
    <row r="220" spans="1:42" s="25" customFormat="1" ht="20.25" customHeight="1" x14ac:dyDescent="0.45">
      <c r="A220" s="30" t="s">
        <v>43</v>
      </c>
      <c r="B220" s="25">
        <v>5</v>
      </c>
      <c r="C220" s="25">
        <v>0</v>
      </c>
      <c r="F220" s="25">
        <v>1</v>
      </c>
      <c r="G220" s="25">
        <v>1</v>
      </c>
      <c r="Y220" s="25">
        <v>12</v>
      </c>
      <c r="Z220" s="25">
        <v>4.2789999999999999</v>
      </c>
      <c r="AA220" s="28"/>
      <c r="AB220" s="28"/>
      <c r="AC220" s="25">
        <v>12</v>
      </c>
      <c r="AD220" s="25">
        <v>2.95</v>
      </c>
      <c r="AE220" s="28"/>
      <c r="AF220" s="28"/>
      <c r="AG220" s="25">
        <v>12</v>
      </c>
      <c r="AH220" s="25">
        <v>4.4569999999999999</v>
      </c>
      <c r="AI220" s="28"/>
      <c r="AJ220" s="28"/>
      <c r="AK220" s="25">
        <v>12</v>
      </c>
      <c r="AL220" s="25">
        <v>2.9940000000000002</v>
      </c>
      <c r="AM220" s="28"/>
      <c r="AN220" s="28"/>
      <c r="AO220" s="28"/>
      <c r="AP220" s="28"/>
    </row>
    <row r="221" spans="1:42" s="25" customFormat="1" ht="20.25" customHeight="1" x14ac:dyDescent="0.45">
      <c r="A221" s="26"/>
      <c r="B221" s="25">
        <v>4</v>
      </c>
      <c r="C221" s="25">
        <v>0</v>
      </c>
      <c r="F221" s="25">
        <v>1</v>
      </c>
      <c r="G221" s="25">
        <v>2</v>
      </c>
      <c r="Y221" s="25">
        <v>13</v>
      </c>
      <c r="Z221" s="25">
        <v>5.665</v>
      </c>
      <c r="AA221" s="25">
        <f>Z222/Z221</f>
        <v>0.78676081200353043</v>
      </c>
      <c r="AB221" s="28"/>
      <c r="AC221" s="25">
        <v>13</v>
      </c>
      <c r="AD221" s="25">
        <v>13.375999999999999</v>
      </c>
      <c r="AE221" s="25">
        <f>AD222/AD221</f>
        <v>0.15976375598086126</v>
      </c>
      <c r="AF221" s="28"/>
      <c r="AG221" s="25">
        <v>13</v>
      </c>
      <c r="AH221" s="25">
        <v>8.75</v>
      </c>
      <c r="AI221" s="25">
        <f>AH222/AH221</f>
        <v>0.72034285714285717</v>
      </c>
      <c r="AJ221" s="28"/>
      <c r="AK221" s="25">
        <v>13</v>
      </c>
      <c r="AL221" s="25">
        <v>9.5410000000000004</v>
      </c>
      <c r="AM221" s="25">
        <f>AL222/AL221</f>
        <v>0.25374698668902629</v>
      </c>
      <c r="AN221" s="28"/>
      <c r="AO221" s="28"/>
      <c r="AP221" s="28"/>
    </row>
    <row r="222" spans="1:42" s="25" customFormat="1" ht="20.25" customHeight="1" x14ac:dyDescent="0.45">
      <c r="A222" s="26"/>
      <c r="B222" s="25">
        <v>4</v>
      </c>
      <c r="C222" s="25">
        <v>1</v>
      </c>
      <c r="F222" s="25">
        <v>2</v>
      </c>
      <c r="G222" s="25">
        <v>3</v>
      </c>
      <c r="Y222" s="25">
        <v>14</v>
      </c>
      <c r="Z222" s="25">
        <v>4.4569999999999999</v>
      </c>
      <c r="AA222" s="28"/>
      <c r="AB222" s="28"/>
      <c r="AC222" s="25">
        <v>14</v>
      </c>
      <c r="AD222" s="25">
        <v>2.137</v>
      </c>
      <c r="AE222" s="28"/>
      <c r="AF222" s="28"/>
      <c r="AG222" s="25">
        <v>14</v>
      </c>
      <c r="AH222" s="25">
        <v>6.3029999999999999</v>
      </c>
      <c r="AI222" s="28"/>
      <c r="AJ222" s="28"/>
      <c r="AK222" s="25">
        <v>14</v>
      </c>
      <c r="AL222" s="25">
        <v>2.4209999999999998</v>
      </c>
      <c r="AM222" s="28"/>
      <c r="AN222" s="28"/>
      <c r="AO222" s="28"/>
      <c r="AP222" s="28"/>
    </row>
    <row r="223" spans="1:42" s="25" customFormat="1" ht="20.25" customHeight="1" x14ac:dyDescent="0.45">
      <c r="A223" s="26"/>
      <c r="B223" s="25">
        <v>1</v>
      </c>
      <c r="C223" s="25">
        <v>3</v>
      </c>
      <c r="F223" s="25">
        <v>0</v>
      </c>
      <c r="G223" s="25">
        <v>3</v>
      </c>
      <c r="Y223" s="25">
        <v>15</v>
      </c>
      <c r="Z223" s="25">
        <v>12.564</v>
      </c>
      <c r="AA223" s="25">
        <f>Z224/Z223</f>
        <v>0.25644699140401145</v>
      </c>
      <c r="AB223" s="28"/>
      <c r="AC223" s="25">
        <v>15</v>
      </c>
      <c r="AD223" s="25">
        <v>10.087999999999999</v>
      </c>
      <c r="AE223" s="25">
        <f>AD224/AD223</f>
        <v>0.33495241871530534</v>
      </c>
      <c r="AF223" s="28"/>
      <c r="AG223" s="25">
        <v>15</v>
      </c>
      <c r="AH223" s="25">
        <v>8.6329999999999991</v>
      </c>
      <c r="AI223" s="25">
        <f>AH224/AH223</f>
        <v>0.49565620294219859</v>
      </c>
      <c r="AJ223" s="28"/>
      <c r="AK223" s="25">
        <v>15</v>
      </c>
      <c r="AL223" s="25">
        <v>8.7569999999999997</v>
      </c>
      <c r="AM223" s="25">
        <f>AL224/AL223</f>
        <v>0.47402078337330134</v>
      </c>
      <c r="AN223" s="28"/>
      <c r="AO223" s="28"/>
      <c r="AP223" s="28"/>
    </row>
    <row r="224" spans="1:42" s="25" customFormat="1" ht="20.25" customHeight="1" x14ac:dyDescent="0.45">
      <c r="A224" s="26"/>
      <c r="B224" s="25">
        <v>1</v>
      </c>
      <c r="C224" s="25">
        <v>3</v>
      </c>
      <c r="F224" s="25">
        <v>0</v>
      </c>
      <c r="G224" s="25">
        <v>3</v>
      </c>
      <c r="Y224" s="25">
        <v>16</v>
      </c>
      <c r="Z224" s="25">
        <v>3.222</v>
      </c>
      <c r="AA224" s="28"/>
      <c r="AB224" s="28"/>
      <c r="AC224" s="25">
        <v>16</v>
      </c>
      <c r="AD224" s="25">
        <v>3.379</v>
      </c>
      <c r="AE224" s="28"/>
      <c r="AF224" s="28"/>
      <c r="AG224" s="25">
        <v>16</v>
      </c>
      <c r="AH224" s="25">
        <v>4.2789999999999999</v>
      </c>
      <c r="AI224" s="28"/>
      <c r="AJ224" s="28"/>
      <c r="AK224" s="25">
        <v>16</v>
      </c>
      <c r="AL224" s="25">
        <v>4.1509999999999998</v>
      </c>
      <c r="AM224" s="28"/>
      <c r="AN224" s="28"/>
      <c r="AO224" s="28"/>
      <c r="AP224" s="28"/>
    </row>
    <row r="225" spans="1:42" s="25" customFormat="1" ht="20.25" customHeight="1" x14ac:dyDescent="0.45">
      <c r="A225" s="26"/>
      <c r="B225" s="25">
        <v>0</v>
      </c>
      <c r="C225" s="25">
        <v>3</v>
      </c>
      <c r="F225" s="25">
        <v>2</v>
      </c>
      <c r="G225" s="25">
        <v>2</v>
      </c>
      <c r="Y225" s="25">
        <v>17</v>
      </c>
      <c r="Z225" s="25">
        <v>9.5250000000000004</v>
      </c>
      <c r="AA225" s="25">
        <f>Z226/Z225</f>
        <v>0.6353805774278215</v>
      </c>
      <c r="AB225" s="28"/>
      <c r="AC225" s="25">
        <v>17</v>
      </c>
      <c r="AD225" s="25">
        <v>8.4060000000000006</v>
      </c>
      <c r="AE225" s="25">
        <f>AD226/AD225</f>
        <v>0.52783725910064239</v>
      </c>
      <c r="AF225" s="28"/>
      <c r="AG225" s="25">
        <v>17</v>
      </c>
      <c r="AH225" s="25">
        <v>9.5500000000000007</v>
      </c>
      <c r="AI225" s="25">
        <f>AH226/AH225</f>
        <v>0.41528795811518321</v>
      </c>
      <c r="AJ225" s="28"/>
      <c r="AK225" s="25">
        <v>17</v>
      </c>
      <c r="AL225" s="25">
        <v>8.9280000000000008</v>
      </c>
      <c r="AM225" s="25">
        <f>AL226/AL225</f>
        <v>0.56283602150537637</v>
      </c>
      <c r="AN225" s="28"/>
      <c r="AO225" s="28"/>
      <c r="AP225" s="28"/>
    </row>
    <row r="226" spans="1:42" s="25" customFormat="1" ht="20.25" customHeight="1" x14ac:dyDescent="0.45">
      <c r="A226" s="26"/>
      <c r="B226" s="25">
        <v>1</v>
      </c>
      <c r="C226" s="25">
        <v>2</v>
      </c>
      <c r="F226" s="25">
        <v>0</v>
      </c>
      <c r="G226" s="25">
        <v>3</v>
      </c>
      <c r="Y226" s="25">
        <v>18</v>
      </c>
      <c r="Z226" s="25">
        <v>6.0519999999999996</v>
      </c>
      <c r="AA226" s="28"/>
      <c r="AB226" s="28"/>
      <c r="AC226" s="25">
        <v>18</v>
      </c>
      <c r="AD226" s="25">
        <v>4.4370000000000003</v>
      </c>
      <c r="AE226" s="28"/>
      <c r="AF226" s="28"/>
      <c r="AG226" s="25">
        <v>18</v>
      </c>
      <c r="AH226" s="25">
        <v>3.9660000000000002</v>
      </c>
      <c r="AI226" s="28"/>
      <c r="AJ226" s="28"/>
      <c r="AK226" s="25">
        <v>18</v>
      </c>
      <c r="AL226" s="25">
        <v>5.0250000000000004</v>
      </c>
      <c r="AM226" s="28"/>
      <c r="AN226" s="28"/>
      <c r="AO226" s="28"/>
      <c r="AP226" s="28"/>
    </row>
    <row r="227" spans="1:42" s="25" customFormat="1" ht="20.25" customHeight="1" x14ac:dyDescent="0.45">
      <c r="A227" s="26"/>
      <c r="B227" s="25">
        <v>2</v>
      </c>
      <c r="C227" s="25">
        <v>4</v>
      </c>
      <c r="F227" s="25">
        <v>2</v>
      </c>
      <c r="G227" s="25">
        <v>1</v>
      </c>
      <c r="Y227" s="25">
        <v>19</v>
      </c>
      <c r="Z227" s="25">
        <v>6.1920000000000002</v>
      </c>
      <c r="AA227" s="25">
        <f>Z228/Z227</f>
        <v>0.60432816537467704</v>
      </c>
      <c r="AB227" s="28"/>
      <c r="AC227" s="25">
        <v>19</v>
      </c>
      <c r="AD227" s="25">
        <v>8.9469999999999992</v>
      </c>
      <c r="AE227" s="25">
        <f>AD228/AD227</f>
        <v>0.3944338884542305</v>
      </c>
      <c r="AF227" s="28"/>
      <c r="AG227" s="25">
        <v>19</v>
      </c>
      <c r="AH227" s="25">
        <v>11.327</v>
      </c>
      <c r="AI227" s="25">
        <f>AH228/AH227</f>
        <v>0.35393308025072839</v>
      </c>
      <c r="AJ227" s="28"/>
      <c r="AK227" s="25">
        <v>19</v>
      </c>
      <c r="AL227" s="25">
        <v>5.1929999999999996</v>
      </c>
      <c r="AM227" s="25">
        <f>AL228/AL227</f>
        <v>1</v>
      </c>
      <c r="AN227" s="28"/>
      <c r="AO227" s="28"/>
      <c r="AP227" s="28"/>
    </row>
    <row r="228" spans="1:42" s="25" customFormat="1" ht="20.25" customHeight="1" x14ac:dyDescent="0.45">
      <c r="A228" s="26"/>
      <c r="B228" s="25">
        <v>1</v>
      </c>
      <c r="C228" s="25">
        <v>2</v>
      </c>
      <c r="F228" s="25">
        <v>3</v>
      </c>
      <c r="G228" s="25">
        <v>1</v>
      </c>
      <c r="Y228" s="25">
        <v>20</v>
      </c>
      <c r="Z228" s="25">
        <v>3.742</v>
      </c>
      <c r="AA228" s="28"/>
      <c r="AB228" s="28"/>
      <c r="AC228" s="25">
        <v>20</v>
      </c>
      <c r="AD228" s="25">
        <v>3.5289999999999999</v>
      </c>
      <c r="AE228" s="28"/>
      <c r="AF228" s="28"/>
      <c r="AG228" s="25">
        <v>20</v>
      </c>
      <c r="AH228" s="25">
        <v>4.0090000000000003</v>
      </c>
      <c r="AI228" s="28"/>
      <c r="AJ228" s="28"/>
      <c r="AK228" s="25">
        <v>20</v>
      </c>
      <c r="AL228" s="25">
        <v>5.1929999999999996</v>
      </c>
      <c r="AM228" s="28"/>
      <c r="AN228" s="28"/>
      <c r="AO228" s="28"/>
      <c r="AP228" s="28"/>
    </row>
    <row r="229" spans="1:42" s="25" customFormat="1" ht="20.25" customHeight="1" x14ac:dyDescent="0.45">
      <c r="A229" s="26"/>
      <c r="B229" s="25">
        <v>1</v>
      </c>
      <c r="C229" s="25">
        <v>0</v>
      </c>
      <c r="F229" s="25">
        <v>0</v>
      </c>
      <c r="G229" s="25">
        <v>3</v>
      </c>
      <c r="AA229" s="25">
        <f>SUM(AA209:AA228)</f>
        <v>5.8874630089649891</v>
      </c>
      <c r="AE229" s="25">
        <f>SUM(AE209:AE228)</f>
        <v>4.4767822089258402</v>
      </c>
      <c r="AG229" s="25" t="s">
        <v>17</v>
      </c>
      <c r="AI229" s="25">
        <f>SUM(AI209:AI228)</f>
        <v>5.433472116624019</v>
      </c>
      <c r="AM229" s="25">
        <f>SUM(AM209:AM228)</f>
        <v>4.7835230430144833</v>
      </c>
    </row>
    <row r="230" spans="1:42" s="25" customFormat="1" ht="20.25" customHeight="1" x14ac:dyDescent="0.45">
      <c r="A230" s="30" t="s">
        <v>17</v>
      </c>
      <c r="B230" s="25">
        <f>B220+B221+B222+B223+B224+B225+B226+B227+B228</f>
        <v>19</v>
      </c>
      <c r="C230" s="25">
        <f>C220+C221+C222+C223+C224+C225+C226+C227+C228+C229</f>
        <v>18</v>
      </c>
      <c r="F230" s="25">
        <f>F220+F221+F222+F223+F224+F225+F226+F227+F228+F229</f>
        <v>11</v>
      </c>
      <c r="G230" s="25">
        <f>G220+G221+G222+G223+G224+G225+G226+G227+G228+G229</f>
        <v>22</v>
      </c>
    </row>
    <row r="231" spans="1:42" s="25" customFormat="1" ht="20.25" customHeight="1" x14ac:dyDescent="0.45">
      <c r="A231" s="30" t="s">
        <v>10</v>
      </c>
      <c r="B231" s="25" t="s">
        <v>15</v>
      </c>
      <c r="C231" s="25" t="s">
        <v>16</v>
      </c>
      <c r="E231" s="25" t="s">
        <v>8</v>
      </c>
      <c r="F231" s="25" t="s">
        <v>15</v>
      </c>
      <c r="G231" s="25" t="s">
        <v>16</v>
      </c>
      <c r="Y231" s="25" t="s">
        <v>56</v>
      </c>
    </row>
    <row r="232" spans="1:42" s="25" customFormat="1" ht="20.25" customHeight="1" x14ac:dyDescent="0.45">
      <c r="A232" s="30" t="s">
        <v>47</v>
      </c>
      <c r="B232" s="25">
        <v>1</v>
      </c>
      <c r="C232" s="25">
        <v>2</v>
      </c>
      <c r="F232" s="25">
        <v>1</v>
      </c>
      <c r="G232" s="25">
        <v>3</v>
      </c>
      <c r="Y232" s="25">
        <v>1</v>
      </c>
      <c r="Z232" s="25">
        <v>7.2649999999999997</v>
      </c>
      <c r="AA232" s="25">
        <f>Z233/Z232</f>
        <v>0.52525808671713692</v>
      </c>
      <c r="AB232" s="28"/>
      <c r="AC232" s="25">
        <v>1</v>
      </c>
      <c r="AD232" s="25">
        <v>9.9220000000000006</v>
      </c>
      <c r="AE232" s="25">
        <f>AD233/AD232</f>
        <v>0.38913525498891355</v>
      </c>
      <c r="AF232" s="28"/>
      <c r="AG232" s="28"/>
      <c r="AH232" s="28"/>
    </row>
    <row r="233" spans="1:42" s="25" customFormat="1" ht="20.25" customHeight="1" x14ac:dyDescent="0.45">
      <c r="A233" s="26"/>
      <c r="B233" s="25">
        <v>2</v>
      </c>
      <c r="C233" s="25">
        <v>1</v>
      </c>
      <c r="F233" s="25">
        <v>1</v>
      </c>
      <c r="G233" s="25">
        <v>3</v>
      </c>
      <c r="Y233" s="25">
        <v>2</v>
      </c>
      <c r="Z233" s="25">
        <v>3.8159999999999998</v>
      </c>
      <c r="AA233" s="28"/>
      <c r="AB233" s="28"/>
      <c r="AC233" s="25">
        <v>2</v>
      </c>
      <c r="AD233" s="25">
        <v>3.8610000000000002</v>
      </c>
      <c r="AE233" s="28"/>
      <c r="AF233" s="28"/>
      <c r="AG233" s="28"/>
      <c r="AH233" s="28"/>
    </row>
    <row r="234" spans="1:42" s="25" customFormat="1" ht="20.25" customHeight="1" x14ac:dyDescent="0.45">
      <c r="A234" s="26"/>
      <c r="B234" s="25">
        <v>3</v>
      </c>
      <c r="C234" s="25">
        <v>1</v>
      </c>
      <c r="F234" s="25">
        <v>0</v>
      </c>
      <c r="G234" s="25">
        <v>3</v>
      </c>
      <c r="Y234" s="25">
        <v>3</v>
      </c>
      <c r="Z234" s="25">
        <v>6.694</v>
      </c>
      <c r="AA234" s="25">
        <f>Z235/Z234</f>
        <v>0.6628323872124291</v>
      </c>
      <c r="AB234" s="28"/>
      <c r="AC234" s="25">
        <v>3</v>
      </c>
      <c r="AD234" s="25">
        <v>10.128</v>
      </c>
      <c r="AE234" s="25">
        <f>AD235/AD234</f>
        <v>0.22916666666666669</v>
      </c>
      <c r="AF234" s="28"/>
      <c r="AG234" s="28"/>
      <c r="AH234" s="28"/>
    </row>
    <row r="235" spans="1:42" s="25" customFormat="1" ht="20.25" customHeight="1" x14ac:dyDescent="0.45">
      <c r="A235" s="26"/>
      <c r="B235" s="25">
        <v>3</v>
      </c>
      <c r="C235" s="25">
        <v>0</v>
      </c>
      <c r="F235" s="25">
        <v>0</v>
      </c>
      <c r="G235" s="25">
        <v>3</v>
      </c>
      <c r="Y235" s="25">
        <v>4</v>
      </c>
      <c r="Z235" s="25">
        <v>4.4370000000000003</v>
      </c>
      <c r="AA235" s="28"/>
      <c r="AB235" s="28"/>
      <c r="AC235" s="25">
        <v>4</v>
      </c>
      <c r="AD235" s="25">
        <v>2.3210000000000002</v>
      </c>
      <c r="AE235" s="28"/>
      <c r="AF235" s="28"/>
      <c r="AG235" s="28"/>
      <c r="AH235" s="28"/>
    </row>
    <row r="236" spans="1:42" s="25" customFormat="1" ht="20.25" customHeight="1" x14ac:dyDescent="0.45">
      <c r="A236" s="26"/>
      <c r="B236" s="25">
        <v>1</v>
      </c>
      <c r="C236" s="25">
        <v>2</v>
      </c>
      <c r="F236" s="25">
        <v>0</v>
      </c>
      <c r="G236" s="25">
        <v>4</v>
      </c>
      <c r="Y236" s="25">
        <v>5</v>
      </c>
      <c r="Z236" s="25">
        <v>7.9470000000000001</v>
      </c>
      <c r="AA236" s="25">
        <f>Z237/Z236</f>
        <v>0.55404555178054604</v>
      </c>
      <c r="AB236" s="28"/>
      <c r="AC236" s="25">
        <v>5</v>
      </c>
      <c r="AD236" s="25">
        <v>6.3540000000000001</v>
      </c>
      <c r="AE236" s="25">
        <f>AD237/AD236</f>
        <v>0.30122757318224741</v>
      </c>
      <c r="AF236" s="28"/>
      <c r="AG236" s="28"/>
      <c r="AH236" s="28"/>
    </row>
    <row r="237" spans="1:42" s="25" customFormat="1" ht="20.25" customHeight="1" x14ac:dyDescent="0.45">
      <c r="A237" s="26"/>
      <c r="B237" s="25">
        <v>1</v>
      </c>
      <c r="C237" s="25">
        <v>2</v>
      </c>
      <c r="F237" s="25">
        <v>1</v>
      </c>
      <c r="G237" s="25">
        <v>2</v>
      </c>
      <c r="Y237" s="25">
        <v>6</v>
      </c>
      <c r="Z237" s="25">
        <v>4.4029999999999996</v>
      </c>
      <c r="AA237" s="28"/>
      <c r="AB237" s="28"/>
      <c r="AC237" s="25">
        <v>6</v>
      </c>
      <c r="AD237" s="25">
        <v>1.9139999999999999</v>
      </c>
      <c r="AE237" s="28"/>
      <c r="AF237" s="28"/>
      <c r="AG237" s="28"/>
      <c r="AH237" s="28"/>
    </row>
    <row r="238" spans="1:42" s="25" customFormat="1" ht="20.25" customHeight="1" x14ac:dyDescent="0.45">
      <c r="A238" s="26"/>
      <c r="B238" s="25">
        <v>1</v>
      </c>
      <c r="C238" s="25">
        <v>2</v>
      </c>
      <c r="F238" s="25">
        <v>0</v>
      </c>
      <c r="G238" s="25">
        <v>2</v>
      </c>
      <c r="Y238" s="25">
        <v>7</v>
      </c>
      <c r="Z238" s="25">
        <v>4.6639999999999997</v>
      </c>
      <c r="AA238" s="25">
        <f>Z239/Z238</f>
        <v>0.66166380789022294</v>
      </c>
      <c r="AB238" s="28"/>
      <c r="AC238" s="25">
        <v>7</v>
      </c>
      <c r="AD238" s="25">
        <v>5.4329999999999998</v>
      </c>
      <c r="AE238" s="25">
        <f>AD239/AD238</f>
        <v>0.51408061844284925</v>
      </c>
      <c r="AF238" s="28"/>
      <c r="AG238" s="28"/>
      <c r="AH238" s="28"/>
    </row>
    <row r="239" spans="1:42" s="25" customFormat="1" ht="20.25" customHeight="1" x14ac:dyDescent="0.45">
      <c r="A239" s="26"/>
      <c r="B239" s="25">
        <v>1</v>
      </c>
      <c r="C239" s="25">
        <v>2</v>
      </c>
      <c r="F239" s="25">
        <v>3</v>
      </c>
      <c r="G239" s="25">
        <v>1</v>
      </c>
      <c r="Y239" s="25">
        <v>8</v>
      </c>
      <c r="Z239" s="25">
        <v>3.0859999999999999</v>
      </c>
      <c r="AA239" s="28"/>
      <c r="AB239" s="28"/>
      <c r="AC239" s="25">
        <v>8</v>
      </c>
      <c r="AD239" s="25">
        <v>2.7930000000000001</v>
      </c>
      <c r="AE239" s="28"/>
      <c r="AF239" s="28"/>
      <c r="AG239" s="28"/>
      <c r="AH239" s="28"/>
    </row>
    <row r="240" spans="1:42" s="25" customFormat="1" ht="20.25" customHeight="1" x14ac:dyDescent="0.45">
      <c r="A240" s="26"/>
      <c r="B240" s="25">
        <v>3</v>
      </c>
      <c r="C240" s="25">
        <v>1</v>
      </c>
      <c r="F240" s="25">
        <v>3</v>
      </c>
      <c r="G240" s="25">
        <v>0</v>
      </c>
      <c r="Y240" s="25">
        <v>9</v>
      </c>
      <c r="Z240" s="25">
        <v>5.2060000000000004</v>
      </c>
      <c r="AA240" s="25">
        <f>Z241/Z240</f>
        <v>0.60852862082212833</v>
      </c>
      <c r="AB240" s="28"/>
      <c r="AC240" s="25">
        <v>9</v>
      </c>
      <c r="AD240" s="25">
        <v>7.024</v>
      </c>
      <c r="AE240" s="25">
        <f>AD241/AD240</f>
        <v>0.46725512528473806</v>
      </c>
      <c r="AF240" s="28"/>
      <c r="AG240" s="28"/>
      <c r="AH240" s="28"/>
    </row>
    <row r="241" spans="1:34" s="25" customFormat="1" ht="20.25" customHeight="1" x14ac:dyDescent="0.45">
      <c r="A241" s="26"/>
      <c r="B241" s="25">
        <v>3</v>
      </c>
      <c r="C241" s="25">
        <v>0</v>
      </c>
      <c r="F241" s="25">
        <v>1</v>
      </c>
      <c r="G241" s="25">
        <v>2</v>
      </c>
      <c r="Y241" s="25">
        <v>10</v>
      </c>
      <c r="Z241" s="25">
        <v>3.1680000000000001</v>
      </c>
      <c r="AA241" s="28"/>
      <c r="AB241" s="28"/>
      <c r="AC241" s="25">
        <v>10</v>
      </c>
      <c r="AD241" s="25">
        <v>3.282</v>
      </c>
      <c r="AE241" s="28"/>
      <c r="AF241" s="28"/>
      <c r="AG241" s="28"/>
      <c r="AH241" s="28"/>
    </row>
    <row r="242" spans="1:34" s="25" customFormat="1" ht="20.25" customHeight="1" x14ac:dyDescent="0.45">
      <c r="A242" s="30" t="s">
        <v>17</v>
      </c>
      <c r="B242" s="25">
        <f>B232+B233+B234+B235+B236+B237+B238+B239+B240+B241</f>
        <v>19</v>
      </c>
      <c r="C242" s="25">
        <f>C232+C233+C234+C235+C236+C237+C238+C239+C240</f>
        <v>13</v>
      </c>
      <c r="F242" s="25">
        <f>F232+F233+F234+F235+F236+F237+F238+F239+F240+F241</f>
        <v>10</v>
      </c>
      <c r="G242" s="25">
        <f>G232+G233+G234+G235+G236+G237+G238+G239+G240+G241</f>
        <v>23</v>
      </c>
      <c r="Y242" s="25">
        <v>11</v>
      </c>
      <c r="Z242" s="25">
        <v>6.8780000000000001</v>
      </c>
      <c r="AA242" s="25">
        <f>Z243/Z242</f>
        <v>0.75501599302122702</v>
      </c>
      <c r="AB242" s="28"/>
      <c r="AC242" s="25">
        <v>11</v>
      </c>
      <c r="AD242" s="25">
        <v>10.221</v>
      </c>
      <c r="AE242" s="25">
        <f>AD243/AD242</f>
        <v>0.45406515996477842</v>
      </c>
      <c r="AF242" s="28"/>
      <c r="AG242" s="28"/>
      <c r="AH242" s="28"/>
    </row>
    <row r="243" spans="1:34" s="25" customFormat="1" ht="20.25" customHeight="1" x14ac:dyDescent="0.45">
      <c r="A243" s="30" t="s">
        <v>10</v>
      </c>
      <c r="B243" s="25" t="s">
        <v>15</v>
      </c>
      <c r="C243" s="25" t="s">
        <v>16</v>
      </c>
      <c r="E243" s="25" t="s">
        <v>8</v>
      </c>
      <c r="F243" s="25" t="s">
        <v>15</v>
      </c>
      <c r="G243" s="25" t="s">
        <v>16</v>
      </c>
      <c r="Y243" s="25">
        <v>12</v>
      </c>
      <c r="Z243" s="25">
        <v>5.1929999999999996</v>
      </c>
      <c r="AA243" s="28"/>
      <c r="AB243" s="28"/>
      <c r="AC243" s="25">
        <v>12</v>
      </c>
      <c r="AD243" s="25">
        <v>4.641</v>
      </c>
      <c r="AE243" s="28"/>
      <c r="AF243" s="28"/>
      <c r="AG243" s="28"/>
      <c r="AH243" s="28"/>
    </row>
    <row r="244" spans="1:34" s="25" customFormat="1" ht="20.25" customHeight="1" x14ac:dyDescent="0.45">
      <c r="A244" s="30" t="s">
        <v>51</v>
      </c>
      <c r="B244" s="25">
        <v>3</v>
      </c>
      <c r="C244" s="25">
        <v>1</v>
      </c>
      <c r="F244" s="25">
        <v>0</v>
      </c>
      <c r="G244" s="25">
        <v>4</v>
      </c>
      <c r="Y244" s="25">
        <v>13</v>
      </c>
      <c r="Z244" s="25">
        <v>7.06</v>
      </c>
      <c r="AA244" s="25">
        <f>Z245/Z244</f>
        <v>0.71048158640226633</v>
      </c>
      <c r="AB244" s="28"/>
      <c r="AC244" s="25">
        <v>13</v>
      </c>
      <c r="AD244" s="25">
        <v>8.5180000000000007</v>
      </c>
      <c r="AE244" s="25">
        <f>AD245/AD244</f>
        <v>0.38060577600375672</v>
      </c>
      <c r="AF244" s="28"/>
      <c r="AG244" s="28"/>
      <c r="AH244" s="28"/>
    </row>
    <row r="245" spans="1:34" s="25" customFormat="1" ht="20.25" customHeight="1" x14ac:dyDescent="0.45">
      <c r="A245" s="26"/>
      <c r="B245" s="25">
        <v>4</v>
      </c>
      <c r="C245" s="25">
        <v>1</v>
      </c>
      <c r="F245" s="25">
        <v>3</v>
      </c>
      <c r="G245" s="25">
        <v>3</v>
      </c>
      <c r="Y245" s="25">
        <v>14</v>
      </c>
      <c r="Z245" s="25">
        <v>5.016</v>
      </c>
      <c r="AA245" s="28"/>
      <c r="AB245" s="28"/>
      <c r="AC245" s="25">
        <v>14</v>
      </c>
      <c r="AD245" s="25">
        <v>3.242</v>
      </c>
      <c r="AE245" s="28"/>
      <c r="AF245" s="28"/>
      <c r="AG245" s="28"/>
      <c r="AH245" s="28"/>
    </row>
    <row r="246" spans="1:34" s="25" customFormat="1" ht="20.25" customHeight="1" x14ac:dyDescent="0.45">
      <c r="A246" s="26"/>
      <c r="B246" s="25">
        <v>3</v>
      </c>
      <c r="C246" s="25">
        <v>1</v>
      </c>
      <c r="F246" s="25">
        <v>1</v>
      </c>
      <c r="G246" s="25">
        <v>2</v>
      </c>
      <c r="Y246" s="25">
        <v>15</v>
      </c>
      <c r="Z246" s="25">
        <v>5.7</v>
      </c>
      <c r="AA246" s="25">
        <f>Z247/Z246</f>
        <v>0.94543859649122808</v>
      </c>
      <c r="AB246" s="28"/>
      <c r="AC246" s="25">
        <v>15</v>
      </c>
      <c r="AD246" s="25">
        <v>9.8409999999999993</v>
      </c>
      <c r="AE246" s="25">
        <f>AD247/AD246</f>
        <v>0.24052433695762626</v>
      </c>
      <c r="AF246" s="28"/>
      <c r="AG246" s="28"/>
      <c r="AH246" s="28"/>
    </row>
    <row r="247" spans="1:34" s="25" customFormat="1" ht="20.25" customHeight="1" x14ac:dyDescent="0.45">
      <c r="A247" s="26"/>
      <c r="B247" s="25">
        <v>1</v>
      </c>
      <c r="C247" s="25">
        <v>4</v>
      </c>
      <c r="F247" s="25">
        <v>1</v>
      </c>
      <c r="G247" s="25">
        <v>3</v>
      </c>
      <c r="Y247" s="25">
        <v>16</v>
      </c>
      <c r="Z247" s="25">
        <v>5.3890000000000002</v>
      </c>
      <c r="AA247" s="28"/>
      <c r="AB247" s="28"/>
      <c r="AC247" s="25">
        <v>16</v>
      </c>
      <c r="AD247" s="25">
        <v>2.367</v>
      </c>
      <c r="AE247" s="28"/>
      <c r="AF247" s="28"/>
      <c r="AG247" s="28"/>
      <c r="AH247" s="28"/>
    </row>
    <row r="248" spans="1:34" s="25" customFormat="1" ht="20.25" customHeight="1" x14ac:dyDescent="0.45">
      <c r="A248" s="26"/>
      <c r="B248" s="25">
        <v>1</v>
      </c>
      <c r="C248" s="25">
        <v>1</v>
      </c>
      <c r="F248" s="25">
        <v>0</v>
      </c>
      <c r="G248" s="25">
        <v>3</v>
      </c>
      <c r="Y248" s="25">
        <v>17</v>
      </c>
      <c r="Z248" s="25">
        <v>6.282</v>
      </c>
      <c r="AA248" s="25">
        <f>Z248/Z249</f>
        <v>0.97169373549883997</v>
      </c>
      <c r="AB248" s="28"/>
      <c r="AC248" s="25">
        <v>17</v>
      </c>
      <c r="AD248" s="25">
        <v>8.4700000000000006</v>
      </c>
      <c r="AE248" s="25">
        <f>AD249/AD248</f>
        <v>0.29504132231404956</v>
      </c>
      <c r="AF248" s="28"/>
      <c r="AG248" s="28"/>
      <c r="AH248" s="28"/>
    </row>
    <row r="249" spans="1:34" s="25" customFormat="1" ht="20.25" customHeight="1" x14ac:dyDescent="0.45">
      <c r="A249" s="26"/>
      <c r="B249" s="25">
        <v>2</v>
      </c>
      <c r="C249" s="25">
        <v>2</v>
      </c>
      <c r="F249" s="25">
        <v>4</v>
      </c>
      <c r="G249" s="25">
        <v>0</v>
      </c>
      <c r="Y249" s="25">
        <v>18</v>
      </c>
      <c r="Z249" s="25">
        <v>6.4649999999999999</v>
      </c>
      <c r="AA249" s="28"/>
      <c r="AB249" s="28"/>
      <c r="AC249" s="25">
        <v>18</v>
      </c>
      <c r="AD249" s="25">
        <v>2.4990000000000001</v>
      </c>
      <c r="AE249" s="28"/>
      <c r="AF249" s="28"/>
      <c r="AG249" s="28"/>
      <c r="AH249" s="28"/>
    </row>
    <row r="250" spans="1:34" s="25" customFormat="1" ht="20.25" customHeight="1" x14ac:dyDescent="0.45">
      <c r="A250" s="26"/>
      <c r="B250" s="25">
        <v>3</v>
      </c>
      <c r="C250" s="25">
        <v>2</v>
      </c>
      <c r="F250" s="25">
        <v>3</v>
      </c>
      <c r="G250" s="25">
        <v>0</v>
      </c>
      <c r="Y250" s="25">
        <v>19</v>
      </c>
      <c r="Z250" s="25">
        <v>4.3639999999999999</v>
      </c>
      <c r="AA250" s="25">
        <f>Z251/Z250</f>
        <v>0.62007332722273145</v>
      </c>
      <c r="AB250" s="28"/>
      <c r="AC250" s="25">
        <v>19</v>
      </c>
      <c r="AD250" s="25">
        <v>6.5140000000000002</v>
      </c>
      <c r="AE250" s="25">
        <f>AD251/AD250</f>
        <v>0.44273871661037761</v>
      </c>
      <c r="AF250" s="28"/>
      <c r="AG250" s="28"/>
      <c r="AH250" s="28"/>
    </row>
    <row r="251" spans="1:34" s="25" customFormat="1" ht="20.25" customHeight="1" x14ac:dyDescent="0.45">
      <c r="A251" s="26"/>
      <c r="B251" s="25">
        <v>1</v>
      </c>
      <c r="C251" s="25">
        <v>3</v>
      </c>
      <c r="F251" s="25">
        <v>0</v>
      </c>
      <c r="G251" s="25">
        <v>3</v>
      </c>
      <c r="Y251" s="25">
        <v>20</v>
      </c>
      <c r="Z251" s="25">
        <v>2.706</v>
      </c>
      <c r="AA251" s="28"/>
      <c r="AB251" s="28"/>
      <c r="AC251" s="25">
        <v>20</v>
      </c>
      <c r="AD251" s="25">
        <v>2.8839999999999999</v>
      </c>
      <c r="AE251" s="28"/>
      <c r="AF251" s="28"/>
      <c r="AG251" s="28"/>
      <c r="AH251" s="28"/>
    </row>
    <row r="252" spans="1:34" s="25" customFormat="1" ht="20.25" customHeight="1" x14ac:dyDescent="0.45">
      <c r="A252" s="26"/>
      <c r="B252" s="25">
        <v>2</v>
      </c>
      <c r="C252" s="25">
        <v>3</v>
      </c>
      <c r="F252" s="25">
        <v>0</v>
      </c>
      <c r="G252" s="25">
        <v>3</v>
      </c>
      <c r="Y252" s="25" t="s">
        <v>17</v>
      </c>
      <c r="AA252" s="25">
        <f>SUM(AA232:AA251)</f>
        <v>7.0150316930587557</v>
      </c>
      <c r="AE252" s="25">
        <f>SUM(AE232:AE251)</f>
        <v>3.7138405504160037</v>
      </c>
    </row>
    <row r="253" spans="1:34" s="25" customFormat="1" ht="20.25" customHeight="1" x14ac:dyDescent="0.45">
      <c r="A253" s="26"/>
      <c r="B253" s="25">
        <v>2</v>
      </c>
      <c r="C253" s="25">
        <v>2</v>
      </c>
      <c r="F253" s="25">
        <v>0</v>
      </c>
      <c r="G253" s="25">
        <v>5</v>
      </c>
    </row>
    <row r="254" spans="1:34" s="25" customFormat="1" ht="20.25" customHeight="1" x14ac:dyDescent="0.45">
      <c r="A254" s="30" t="s">
        <v>17</v>
      </c>
      <c r="B254" s="25">
        <f>B244+B245+B246+B247+B248+B249+B250+B251+B252+B253</f>
        <v>22</v>
      </c>
      <c r="C254" s="25">
        <f>C244+C245+C246+C247+C248+C249+C250+C251+C252+C253</f>
        <v>20</v>
      </c>
      <c r="F254" s="25">
        <f>F244+F245+F246+F247+F248+F249+F250+F251+F252+F253</f>
        <v>12</v>
      </c>
      <c r="G254" s="25">
        <f>G244+G245+G246+G247+G248+G249+G250+G251+G252+G253</f>
        <v>26</v>
      </c>
      <c r="Y254" s="25" t="s">
        <v>57</v>
      </c>
    </row>
    <row r="255" spans="1:34" s="25" customFormat="1" ht="20.25" customHeight="1" x14ac:dyDescent="0.45">
      <c r="A255" s="30" t="s">
        <v>10</v>
      </c>
      <c r="B255" s="25" t="s">
        <v>15</v>
      </c>
      <c r="C255" s="25" t="s">
        <v>16</v>
      </c>
      <c r="E255" s="25" t="s">
        <v>8</v>
      </c>
      <c r="F255" s="25" t="s">
        <v>15</v>
      </c>
      <c r="G255" s="25" t="s">
        <v>16</v>
      </c>
      <c r="Y255" s="25">
        <v>1</v>
      </c>
      <c r="Z255" s="25">
        <v>8.9640000000000004</v>
      </c>
      <c r="AA255" s="25">
        <f>Z256/Z255</f>
        <v>0.66789379741186972</v>
      </c>
      <c r="AB255" s="28"/>
      <c r="AC255" s="25">
        <v>1</v>
      </c>
      <c r="AD255" s="25">
        <v>13.193</v>
      </c>
      <c r="AE255" s="25">
        <f>AD256/AD255</f>
        <v>0.25414992799211705</v>
      </c>
      <c r="AF255" s="28"/>
      <c r="AG255" s="28"/>
      <c r="AH255" s="28"/>
    </row>
    <row r="256" spans="1:34" s="25" customFormat="1" ht="20.25" customHeight="1" x14ac:dyDescent="0.45">
      <c r="A256" s="30" t="s">
        <v>54</v>
      </c>
      <c r="B256" s="25">
        <v>1</v>
      </c>
      <c r="C256" s="25">
        <v>2</v>
      </c>
      <c r="F256" s="25">
        <v>3</v>
      </c>
      <c r="G256" s="25">
        <v>1</v>
      </c>
      <c r="Y256" s="25">
        <v>2</v>
      </c>
      <c r="Z256" s="25">
        <v>5.9870000000000001</v>
      </c>
      <c r="AA256" s="28"/>
      <c r="AB256" s="28"/>
      <c r="AC256" s="25">
        <v>2</v>
      </c>
      <c r="AD256" s="25">
        <v>3.3530000000000002</v>
      </c>
      <c r="AE256" s="28"/>
      <c r="AF256" s="28"/>
      <c r="AG256" s="28"/>
      <c r="AH256" s="28"/>
    </row>
    <row r="257" spans="1:34" s="25" customFormat="1" ht="20.25" customHeight="1" x14ac:dyDescent="0.45">
      <c r="A257" s="26"/>
      <c r="B257" s="25">
        <v>1</v>
      </c>
      <c r="C257" s="25">
        <v>2</v>
      </c>
      <c r="F257" s="25">
        <v>2</v>
      </c>
      <c r="G257" s="25">
        <v>1</v>
      </c>
      <c r="Y257" s="25">
        <v>3</v>
      </c>
      <c r="Z257" s="25">
        <v>4.9820000000000002</v>
      </c>
      <c r="AA257" s="25">
        <f>Z257/Z258</f>
        <v>0.99243027888446222</v>
      </c>
      <c r="AB257" s="28"/>
      <c r="AC257" s="25">
        <v>3</v>
      </c>
      <c r="AD257" s="25">
        <v>13.532</v>
      </c>
      <c r="AE257" s="25">
        <f>AD258/AD257</f>
        <v>0.25155187703221993</v>
      </c>
      <c r="AF257" s="28"/>
      <c r="AG257" s="28"/>
      <c r="AH257" s="28"/>
    </row>
    <row r="258" spans="1:34" s="25" customFormat="1" ht="20.25" customHeight="1" x14ac:dyDescent="0.45">
      <c r="A258" s="26"/>
      <c r="B258" s="25">
        <v>4</v>
      </c>
      <c r="C258" s="25">
        <v>2</v>
      </c>
      <c r="F258" s="25">
        <v>0</v>
      </c>
      <c r="G258" s="25">
        <v>3</v>
      </c>
      <c r="Y258" s="25">
        <v>4</v>
      </c>
      <c r="Z258" s="25">
        <v>5.0199999999999996</v>
      </c>
      <c r="AA258" s="28"/>
      <c r="AB258" s="28"/>
      <c r="AC258" s="25">
        <v>4</v>
      </c>
      <c r="AD258" s="25">
        <v>3.4039999999999999</v>
      </c>
      <c r="AE258" s="28"/>
      <c r="AF258" s="28"/>
      <c r="AG258" s="28"/>
      <c r="AH258" s="28"/>
    </row>
    <row r="259" spans="1:34" s="25" customFormat="1" ht="20.25" customHeight="1" x14ac:dyDescent="0.45">
      <c r="A259" s="26"/>
      <c r="B259" s="25">
        <v>3</v>
      </c>
      <c r="C259" s="25">
        <v>1</v>
      </c>
      <c r="F259" s="25">
        <v>0</v>
      </c>
      <c r="G259" s="25">
        <v>3</v>
      </c>
      <c r="Y259" s="25">
        <v>5</v>
      </c>
      <c r="Z259" s="25">
        <v>4.8630000000000004</v>
      </c>
      <c r="AA259" s="25">
        <f>Z260/Z259</f>
        <v>0.60662142710261158</v>
      </c>
      <c r="AB259" s="28"/>
      <c r="AC259" s="25">
        <v>5</v>
      </c>
      <c r="AD259" s="25">
        <v>9.5570000000000004</v>
      </c>
      <c r="AE259" s="25">
        <f>AD260/AD259</f>
        <v>0.58637647797425974</v>
      </c>
      <c r="AF259" s="28"/>
      <c r="AG259" s="28"/>
      <c r="AH259" s="28"/>
    </row>
    <row r="260" spans="1:34" s="25" customFormat="1" ht="20.25" customHeight="1" x14ac:dyDescent="0.45">
      <c r="A260" s="26"/>
      <c r="B260" s="25">
        <v>2</v>
      </c>
      <c r="C260" s="25">
        <v>5</v>
      </c>
      <c r="F260" s="25">
        <v>2</v>
      </c>
      <c r="G260" s="25">
        <v>4</v>
      </c>
      <c r="Y260" s="25">
        <v>6</v>
      </c>
      <c r="Z260" s="25">
        <v>2.95</v>
      </c>
      <c r="AA260" s="28"/>
      <c r="AB260" s="28"/>
      <c r="AC260" s="25">
        <v>6</v>
      </c>
      <c r="AD260" s="25">
        <v>5.6040000000000001</v>
      </c>
      <c r="AE260" s="28"/>
      <c r="AF260" s="28"/>
      <c r="AG260" s="28"/>
      <c r="AH260" s="28"/>
    </row>
    <row r="261" spans="1:34" s="25" customFormat="1" ht="20.25" customHeight="1" x14ac:dyDescent="0.45">
      <c r="A261" s="26"/>
      <c r="B261" s="25">
        <v>2</v>
      </c>
      <c r="C261" s="25">
        <v>1</v>
      </c>
      <c r="F261" s="25">
        <v>0</v>
      </c>
      <c r="G261" s="25">
        <v>4</v>
      </c>
      <c r="Y261" s="25">
        <v>7</v>
      </c>
      <c r="Z261" s="25">
        <v>8.1560000000000006</v>
      </c>
      <c r="AA261" s="25">
        <f>Z262/Z261</f>
        <v>0.43268759195684153</v>
      </c>
      <c r="AB261" s="28"/>
      <c r="AC261" s="25">
        <v>7</v>
      </c>
      <c r="AD261" s="25">
        <v>13.064</v>
      </c>
      <c r="AE261" s="25">
        <f>AD262/AD261</f>
        <v>0.39245254133496632</v>
      </c>
      <c r="AF261" s="28"/>
      <c r="AG261" s="28"/>
      <c r="AH261" s="28"/>
    </row>
    <row r="262" spans="1:34" s="25" customFormat="1" ht="20.25" customHeight="1" x14ac:dyDescent="0.45">
      <c r="A262" s="26"/>
      <c r="B262" s="25">
        <v>1</v>
      </c>
      <c r="C262" s="25">
        <v>1</v>
      </c>
      <c r="F262" s="25">
        <v>1</v>
      </c>
      <c r="G262" s="25">
        <v>2</v>
      </c>
      <c r="Y262" s="25">
        <v>8</v>
      </c>
      <c r="Z262" s="25">
        <v>3.5289999999999999</v>
      </c>
      <c r="AA262" s="28"/>
      <c r="AB262" s="28"/>
      <c r="AC262" s="25">
        <v>8</v>
      </c>
      <c r="AD262" s="25">
        <v>5.1269999999999998</v>
      </c>
      <c r="AE262" s="28"/>
      <c r="AF262" s="28"/>
      <c r="AG262" s="28"/>
      <c r="AH262" s="28"/>
    </row>
    <row r="263" spans="1:34" s="25" customFormat="1" ht="20.25" customHeight="1" x14ac:dyDescent="0.45">
      <c r="A263" s="26"/>
      <c r="B263" s="25">
        <v>2</v>
      </c>
      <c r="C263" s="25">
        <v>1</v>
      </c>
      <c r="F263" s="25">
        <v>1</v>
      </c>
      <c r="G263" s="25">
        <v>1</v>
      </c>
      <c r="Y263" s="25">
        <v>9</v>
      </c>
      <c r="Z263" s="25">
        <v>5.0199999999999996</v>
      </c>
      <c r="AA263" s="25">
        <f>Z264/Z263</f>
        <v>0.99243027888446222</v>
      </c>
      <c r="AB263" s="28"/>
      <c r="AC263" s="25">
        <v>9</v>
      </c>
      <c r="AD263" s="25">
        <v>5.4130000000000003</v>
      </c>
      <c r="AE263" s="25">
        <f>AD264/AD263</f>
        <v>0.61832625161647881</v>
      </c>
      <c r="AF263" s="28"/>
      <c r="AG263" s="28"/>
      <c r="AH263" s="28"/>
    </row>
    <row r="264" spans="1:34" s="25" customFormat="1" ht="20.25" customHeight="1" x14ac:dyDescent="0.45">
      <c r="A264" s="26"/>
      <c r="B264" s="25">
        <v>2</v>
      </c>
      <c r="C264" s="25">
        <v>4</v>
      </c>
      <c r="F264" s="25">
        <v>0</v>
      </c>
      <c r="G264" s="25">
        <v>2</v>
      </c>
      <c r="Y264" s="25">
        <v>10</v>
      </c>
      <c r="Z264" s="25">
        <v>4.9820000000000002</v>
      </c>
      <c r="AA264" s="28"/>
      <c r="AB264" s="28"/>
      <c r="AC264" s="25">
        <v>10</v>
      </c>
      <c r="AD264" s="25">
        <v>3.347</v>
      </c>
      <c r="AE264" s="28"/>
      <c r="AF264" s="28"/>
      <c r="AG264" s="28"/>
      <c r="AH264" s="28"/>
    </row>
    <row r="265" spans="1:34" s="25" customFormat="1" ht="20.25" customHeight="1" x14ac:dyDescent="0.45">
      <c r="A265" s="26"/>
      <c r="B265" s="25">
        <v>3</v>
      </c>
      <c r="C265" s="25">
        <v>3</v>
      </c>
      <c r="F265" s="25">
        <v>2</v>
      </c>
      <c r="G265" s="25">
        <v>2</v>
      </c>
      <c r="Y265" s="25">
        <v>11</v>
      </c>
      <c r="Z265" s="25">
        <v>9.5839999999999996</v>
      </c>
      <c r="AA265" s="25">
        <f>Z266/Z265</f>
        <v>0.35851419031719534</v>
      </c>
      <c r="AB265" s="28"/>
      <c r="AC265" s="25">
        <v>11</v>
      </c>
      <c r="AD265" s="25">
        <v>5.4480000000000004</v>
      </c>
      <c r="AE265" s="25">
        <f>AD265/AD266</f>
        <v>0.9227642276422765</v>
      </c>
      <c r="AF265" s="28"/>
      <c r="AG265" s="28"/>
      <c r="AH265" s="28"/>
    </row>
    <row r="266" spans="1:34" s="25" customFormat="1" ht="20.25" customHeight="1" x14ac:dyDescent="0.45">
      <c r="A266" s="30" t="s">
        <v>17</v>
      </c>
      <c r="B266" s="25">
        <f>B256+B257+B258+B259+B260+B261+B262+B263+B264+B265</f>
        <v>21</v>
      </c>
      <c r="C266" s="25">
        <f>C256+C257+C258+C259+C260+C261+C262+C263+C264+C265</f>
        <v>22</v>
      </c>
      <c r="F266" s="25">
        <f>F256+F257+F258+F259+F260+F261+F262+F263+F264+F265</f>
        <v>11</v>
      </c>
      <c r="G266" s="25">
        <f>G256+G257+G258+G259+G260+G261+G262+G263+G264+G265</f>
        <v>23</v>
      </c>
      <c r="Y266" s="25">
        <v>12</v>
      </c>
      <c r="Z266" s="25">
        <v>3.4359999999999999</v>
      </c>
      <c r="AA266" s="28"/>
      <c r="AB266" s="28"/>
      <c r="AC266" s="25">
        <v>12</v>
      </c>
      <c r="AD266" s="25">
        <v>5.9039999999999999</v>
      </c>
      <c r="AE266" s="28"/>
      <c r="AF266" s="28"/>
      <c r="AG266" s="28"/>
      <c r="AH266" s="28"/>
    </row>
    <row r="267" spans="1:34" s="25" customFormat="1" ht="20.25" customHeight="1" x14ac:dyDescent="0.45">
      <c r="A267" s="26"/>
      <c r="B267" s="28"/>
      <c r="C267" s="28"/>
      <c r="E267" s="28"/>
      <c r="F267" s="28"/>
      <c r="G267" s="28"/>
      <c r="Y267" s="25">
        <v>13</v>
      </c>
      <c r="Z267" s="25">
        <v>9.3659999999999997</v>
      </c>
      <c r="AA267" s="25">
        <f>Z268/Z267</f>
        <v>0.58552210121716852</v>
      </c>
      <c r="AB267" s="28"/>
      <c r="AC267" s="25">
        <v>13</v>
      </c>
      <c r="AD267" s="25">
        <v>9.5679999999999996</v>
      </c>
      <c r="AE267" s="25">
        <f>AD268/AD267</f>
        <v>0.41732859531772576</v>
      </c>
      <c r="AF267" s="28"/>
      <c r="AG267" s="28"/>
      <c r="AH267" s="28"/>
    </row>
    <row r="268" spans="1:34" s="25" customFormat="1" ht="20.25" customHeight="1" x14ac:dyDescent="0.45">
      <c r="A268" s="26"/>
      <c r="B268" s="28"/>
      <c r="Y268" s="25">
        <v>14</v>
      </c>
      <c r="Z268" s="25">
        <v>5.484</v>
      </c>
      <c r="AA268" s="28"/>
      <c r="AB268" s="28"/>
      <c r="AC268" s="25">
        <v>14</v>
      </c>
      <c r="AD268" s="25">
        <v>3.9929999999999999</v>
      </c>
      <c r="AE268" s="28"/>
      <c r="AF268" s="28"/>
      <c r="AG268" s="28"/>
      <c r="AH268" s="28"/>
    </row>
    <row r="269" spans="1:34" s="25" customFormat="1" ht="20.25" customHeight="1" x14ac:dyDescent="0.45">
      <c r="A269" s="30" t="s">
        <v>58</v>
      </c>
      <c r="B269" s="25">
        <f>B266+B254+B242+B230+B218+B206+B194+B182+B170+B158+B145+B132+B119+B106+B94+B82+B70+B59+B47+B34</f>
        <v>470</v>
      </c>
      <c r="C269" s="25">
        <f>C266+C254+C242+C230+C218+C206+C194+C182+C170+C158+C145+C132+C119+C106+C94+C82+C70+C59+C47+C34</f>
        <v>382</v>
      </c>
      <c r="D269" s="25">
        <f>B269/C269</f>
        <v>1.2303664921465969</v>
      </c>
      <c r="F269" s="25">
        <f>F266+F254+F242+F230+F206+F194+F182+F170+F158+F145+F132+F119+F106+F94+F82+F70+F59+F47+F34</f>
        <v>217</v>
      </c>
      <c r="G269" s="25">
        <f>G266+G254+G242+G230+G206+G194+G182+G170+G158+G145+G132+G119+G106+G94+G82+G70+G59+G47+G34</f>
        <v>547</v>
      </c>
      <c r="H269" s="25">
        <f>F269/G269</f>
        <v>0.39670932358318101</v>
      </c>
      <c r="J269" s="25">
        <f>J118+J106+J94+J82+J70+J58+J34</f>
        <v>146</v>
      </c>
      <c r="K269" s="25">
        <f>K118+K106+K94+K82+K70+K58+K46+K34</f>
        <v>164</v>
      </c>
      <c r="L269" s="25">
        <f>J269/K269</f>
        <v>0.8902439024390244</v>
      </c>
      <c r="M269" s="25">
        <f>M118+M106+M94+M82+M70+M58+M46+M34</f>
        <v>94</v>
      </c>
      <c r="N269" s="25">
        <f>N118+N106+N94+N82+N70+N58+N46+N34</f>
        <v>225</v>
      </c>
      <c r="O269" s="25">
        <f>M269/N269</f>
        <v>0.4177777777777778</v>
      </c>
      <c r="Q269" s="27">
        <f>Q94+Q82+Q70+Q58+Q46+Q34</f>
        <v>131</v>
      </c>
      <c r="R269" s="27">
        <f>R94+R82+R70+R58+R46+R34</f>
        <v>104</v>
      </c>
      <c r="S269" s="27">
        <f>Q269/R269</f>
        <v>1.2596153846153846</v>
      </c>
      <c r="T269" s="27">
        <f>T82+T70+T58+T46+T34</f>
        <v>55</v>
      </c>
      <c r="U269" s="27">
        <f>U82+U70+U58+U46+U34</f>
        <v>140</v>
      </c>
      <c r="V269" s="27">
        <f>T269/U269</f>
        <v>0.39285714285714285</v>
      </c>
      <c r="Y269" s="25">
        <v>15</v>
      </c>
      <c r="Z269" s="25">
        <v>7.7050000000000001</v>
      </c>
      <c r="AA269" s="25">
        <f>Z270/Z269</f>
        <v>0.63114860480207657</v>
      </c>
      <c r="AB269" s="28"/>
      <c r="AC269" s="25">
        <v>15</v>
      </c>
      <c r="AD269" s="25">
        <v>12.476000000000001</v>
      </c>
      <c r="AE269" s="25">
        <f>AD270/AD269</f>
        <v>0.39996793844180828</v>
      </c>
      <c r="AF269" s="28"/>
      <c r="AG269" s="28"/>
      <c r="AH269" s="28"/>
    </row>
    <row r="270" spans="1:34" s="25" customFormat="1" ht="20.25" customHeight="1" x14ac:dyDescent="0.45">
      <c r="A270" s="26"/>
      <c r="B270" s="28"/>
      <c r="H270" s="25" t="s">
        <v>59</v>
      </c>
      <c r="I270" s="25" t="s">
        <v>60</v>
      </c>
      <c r="Y270" s="25">
        <v>16</v>
      </c>
      <c r="Z270" s="25">
        <v>4.8630000000000004</v>
      </c>
      <c r="AA270" s="28"/>
      <c r="AB270" s="28"/>
      <c r="AC270" s="25">
        <v>16</v>
      </c>
      <c r="AD270" s="25">
        <v>4.99</v>
      </c>
      <c r="AE270" s="28"/>
      <c r="AF270" s="28"/>
      <c r="AG270" s="28"/>
      <c r="AH270" s="28"/>
    </row>
    <row r="271" spans="1:34" s="25" customFormat="1" ht="20.25" customHeight="1" x14ac:dyDescent="0.45">
      <c r="A271" s="26"/>
      <c r="B271" s="28"/>
      <c r="H271" s="25">
        <v>0.3967</v>
      </c>
      <c r="I271" s="25">
        <v>1.2302999999999999</v>
      </c>
      <c r="K271" s="27">
        <f>AVERAGE(H271,H272,H273)</f>
        <v>0.40240000000000004</v>
      </c>
      <c r="L271" s="27">
        <f>AVERAGE(I271,I272,I273)</f>
        <v>1.1266999999999998</v>
      </c>
      <c r="Y271" s="25">
        <v>17</v>
      </c>
      <c r="Z271" s="25">
        <v>9.2129999999999992</v>
      </c>
      <c r="AA271" s="25">
        <f>Z272/Z271</f>
        <v>0.74590252903505916</v>
      </c>
      <c r="AB271" s="28"/>
      <c r="AC271" s="25">
        <v>17</v>
      </c>
      <c r="AD271" s="25">
        <v>11.016999999999999</v>
      </c>
      <c r="AE271" s="25">
        <f>AD272/AD271</f>
        <v>0.34637378596714169</v>
      </c>
      <c r="AF271" s="28"/>
      <c r="AG271" s="28"/>
      <c r="AH271" s="28"/>
    </row>
    <row r="272" spans="1:34" s="25" customFormat="1" ht="20.25" customHeight="1" x14ac:dyDescent="0.45">
      <c r="A272" s="26"/>
      <c r="B272" s="28"/>
      <c r="H272" s="25">
        <v>0.41770000000000002</v>
      </c>
      <c r="I272" s="25">
        <v>0.89019999999999999</v>
      </c>
      <c r="J272" s="27" t="s">
        <v>14</v>
      </c>
      <c r="K272" s="27">
        <f>TTEST(H271:H273,I271:I273,2,2)</f>
        <v>3.6615090609325254E-3</v>
      </c>
      <c r="Y272" s="25">
        <v>18</v>
      </c>
      <c r="Z272" s="25">
        <v>6.8719999999999999</v>
      </c>
      <c r="AA272" s="28"/>
      <c r="AB272" s="28"/>
      <c r="AC272" s="25">
        <v>18</v>
      </c>
      <c r="AD272" s="25">
        <v>3.8159999999999998</v>
      </c>
      <c r="AE272" s="28"/>
      <c r="AF272" s="28"/>
      <c r="AG272" s="28"/>
      <c r="AH272" s="28"/>
    </row>
    <row r="273" spans="1:34" s="25" customFormat="1" ht="20.25" customHeight="1" x14ac:dyDescent="0.45">
      <c r="A273" s="26"/>
      <c r="B273" s="25" t="s">
        <v>61</v>
      </c>
      <c r="G273" s="27">
        <f>STDEV(H271:H273)</f>
        <v>1.3392908571329845E-2</v>
      </c>
      <c r="H273" s="27">
        <v>0.39279999999999998</v>
      </c>
      <c r="I273" s="27">
        <v>1.2596000000000001</v>
      </c>
      <c r="J273" s="27">
        <f>STDEV(I271:I273)</f>
        <v>0.20533828186677849</v>
      </c>
      <c r="Y273" s="25">
        <v>19</v>
      </c>
      <c r="Z273" s="25">
        <v>6.1710000000000003</v>
      </c>
      <c r="AA273" s="25">
        <f>Z274/Z273</f>
        <v>0.55679792578188292</v>
      </c>
      <c r="AB273" s="28"/>
      <c r="AC273" s="25">
        <v>19</v>
      </c>
      <c r="AD273" s="25">
        <v>10.077</v>
      </c>
      <c r="AE273" s="25">
        <f>AD274/AD273</f>
        <v>0.61823955542324105</v>
      </c>
      <c r="AF273" s="28"/>
      <c r="AG273" s="28"/>
      <c r="AH273" s="28"/>
    </row>
    <row r="274" spans="1:34" s="25" customFormat="1" ht="20.25" customHeight="1" x14ac:dyDescent="0.45">
      <c r="A274" s="30" t="s">
        <v>62</v>
      </c>
      <c r="B274" s="25">
        <v>1</v>
      </c>
      <c r="C274" s="25" t="s">
        <v>8</v>
      </c>
      <c r="D274" s="25" t="s">
        <v>9</v>
      </c>
      <c r="E274" s="25" t="s">
        <v>10</v>
      </c>
      <c r="F274" s="25" t="s">
        <v>9</v>
      </c>
      <c r="G274" s="25" t="s">
        <v>63</v>
      </c>
      <c r="H274" s="25">
        <v>1</v>
      </c>
      <c r="I274" s="25" t="s">
        <v>8</v>
      </c>
      <c r="K274" s="25" t="s">
        <v>10</v>
      </c>
      <c r="M274" s="25" t="s">
        <v>64</v>
      </c>
      <c r="N274" s="25">
        <v>1</v>
      </c>
      <c r="O274" s="25" t="s">
        <v>8</v>
      </c>
      <c r="P274" s="25" t="s">
        <v>9</v>
      </c>
      <c r="Q274" s="25" t="s">
        <v>10</v>
      </c>
      <c r="R274" s="25" t="s">
        <v>9</v>
      </c>
      <c r="Y274" s="25">
        <v>20</v>
      </c>
      <c r="Z274" s="25">
        <v>3.4359999999999999</v>
      </c>
      <c r="AA274" s="28"/>
      <c r="AB274" s="28"/>
      <c r="AC274" s="25">
        <v>20</v>
      </c>
      <c r="AD274" s="25">
        <v>6.23</v>
      </c>
      <c r="AE274" s="28"/>
      <c r="AF274" s="28"/>
      <c r="AG274" s="28"/>
      <c r="AH274" s="28"/>
    </row>
    <row r="275" spans="1:34" s="25" customFormat="1" ht="20.25" customHeight="1" x14ac:dyDescent="0.45">
      <c r="A275" s="26"/>
      <c r="B275" s="28"/>
      <c r="C275" s="25">
        <v>2</v>
      </c>
      <c r="D275" s="25">
        <v>2</v>
      </c>
      <c r="E275" s="25">
        <v>5</v>
      </c>
      <c r="F275" s="25">
        <v>2</v>
      </c>
      <c r="AA275" s="25">
        <f>SUM(AA255:AA274)</f>
        <v>6.5699487253936306</v>
      </c>
      <c r="AE275" s="25">
        <f>SUM(AE255:AE274)</f>
        <v>4.8075311787422352</v>
      </c>
    </row>
    <row r="276" spans="1:34" s="25" customFormat="1" ht="20.25" customHeight="1" x14ac:dyDescent="0.45">
      <c r="A276" s="26"/>
      <c r="B276" s="28"/>
      <c r="C276" s="25">
        <v>2</v>
      </c>
      <c r="D276" s="25">
        <v>2</v>
      </c>
      <c r="E276" s="25">
        <v>4</v>
      </c>
      <c r="F276" s="25">
        <v>1</v>
      </c>
    </row>
    <row r="277" spans="1:34" s="25" customFormat="1" ht="20.25" customHeight="1" x14ac:dyDescent="0.45">
      <c r="A277" s="26"/>
      <c r="B277" s="28"/>
      <c r="C277" s="25">
        <v>0</v>
      </c>
      <c r="D277" s="25">
        <v>2</v>
      </c>
      <c r="E277" s="25">
        <v>4</v>
      </c>
      <c r="F277" s="25">
        <v>2</v>
      </c>
      <c r="Y277" s="25" t="s">
        <v>65</v>
      </c>
    </row>
    <row r="278" spans="1:34" s="25" customFormat="1" ht="20.25" customHeight="1" x14ac:dyDescent="0.45">
      <c r="A278" s="26"/>
      <c r="B278" s="28"/>
      <c r="C278" s="25">
        <v>2</v>
      </c>
      <c r="D278" s="25">
        <v>3</v>
      </c>
      <c r="E278" s="25">
        <v>10</v>
      </c>
      <c r="F278" s="25">
        <v>2</v>
      </c>
      <c r="Y278" s="25">
        <v>1</v>
      </c>
      <c r="Z278" s="25">
        <v>6.7869999999999999</v>
      </c>
      <c r="AA278" s="25">
        <f>Z279/Z278</f>
        <v>0.74480624723736555</v>
      </c>
      <c r="AB278" s="28"/>
      <c r="AC278" s="25">
        <v>1</v>
      </c>
      <c r="AD278" s="25">
        <v>9.8460000000000001</v>
      </c>
      <c r="AE278" s="25">
        <f>AD279/AD278</f>
        <v>0.35841966280723137</v>
      </c>
      <c r="AF278" s="28"/>
      <c r="AG278" s="28"/>
      <c r="AH278" s="28"/>
    </row>
    <row r="279" spans="1:34" s="25" customFormat="1" ht="20.25" customHeight="1" x14ac:dyDescent="0.45">
      <c r="A279" s="26"/>
      <c r="B279" s="28"/>
      <c r="C279" s="25">
        <v>0</v>
      </c>
      <c r="D279" s="25">
        <v>2</v>
      </c>
      <c r="E279" s="25">
        <v>3</v>
      </c>
      <c r="F279" s="25">
        <v>1</v>
      </c>
      <c r="H279" s="28"/>
      <c r="N279" s="28"/>
      <c r="Y279" s="25">
        <v>2</v>
      </c>
      <c r="Z279" s="25">
        <v>5.0549999999999997</v>
      </c>
      <c r="AA279" s="28"/>
      <c r="AB279" s="28"/>
      <c r="AC279" s="25">
        <v>2</v>
      </c>
      <c r="AD279" s="25">
        <v>3.5289999999999999</v>
      </c>
      <c r="AF279" s="28"/>
      <c r="AG279" s="28"/>
      <c r="AH279" s="28"/>
    </row>
    <row r="280" spans="1:34" s="25" customFormat="1" ht="20.25" customHeight="1" x14ac:dyDescent="0.45">
      <c r="A280" s="26"/>
      <c r="B280" s="25">
        <v>2</v>
      </c>
      <c r="C280" s="25" t="s">
        <v>8</v>
      </c>
      <c r="D280" s="25" t="s">
        <v>9</v>
      </c>
      <c r="E280" s="25" t="s">
        <v>10</v>
      </c>
      <c r="F280" s="25" t="s">
        <v>9</v>
      </c>
      <c r="H280" s="25">
        <v>2</v>
      </c>
      <c r="I280" s="25" t="s">
        <v>8</v>
      </c>
      <c r="J280" s="25" t="s">
        <v>9</v>
      </c>
      <c r="K280" s="25" t="s">
        <v>10</v>
      </c>
      <c r="L280" s="25" t="s">
        <v>9</v>
      </c>
      <c r="N280" s="25">
        <v>2</v>
      </c>
      <c r="O280" s="25" t="s">
        <v>8</v>
      </c>
      <c r="P280" s="25" t="s">
        <v>9</v>
      </c>
      <c r="Q280" s="25" t="s">
        <v>10</v>
      </c>
      <c r="R280" s="25" t="s">
        <v>9</v>
      </c>
      <c r="Y280" s="25">
        <v>3</v>
      </c>
      <c r="Z280" s="25">
        <v>7.556</v>
      </c>
      <c r="AA280" s="25">
        <f>Z281/Z280</f>
        <v>0.89822657490735835</v>
      </c>
      <c r="AB280" s="28"/>
      <c r="AC280" s="25">
        <v>3</v>
      </c>
      <c r="AD280" s="25">
        <v>11.250999999999999</v>
      </c>
      <c r="AE280" s="25">
        <f>AD281/AD280</f>
        <v>0.24824460047995736</v>
      </c>
      <c r="AF280" s="28"/>
      <c r="AG280" s="28"/>
      <c r="AH280" s="28"/>
    </row>
    <row r="281" spans="1:34" s="25" customFormat="1" ht="20.25" customHeight="1" x14ac:dyDescent="0.45">
      <c r="A281" s="26"/>
      <c r="B281" s="28"/>
      <c r="C281" s="25">
        <v>1</v>
      </c>
      <c r="Y281" s="25">
        <v>4</v>
      </c>
      <c r="Z281" s="25">
        <v>6.7869999999999999</v>
      </c>
      <c r="AA281" s="28"/>
      <c r="AB281" s="28"/>
      <c r="AC281" s="25">
        <v>4</v>
      </c>
      <c r="AD281" s="25">
        <v>2.7930000000000001</v>
      </c>
      <c r="AF281" s="28"/>
      <c r="AG281" s="28"/>
      <c r="AH281" s="28"/>
    </row>
    <row r="282" spans="1:34" s="25" customFormat="1" ht="20.25" customHeight="1" x14ac:dyDescent="0.45">
      <c r="A282" s="26"/>
      <c r="B282" s="28"/>
      <c r="C282" s="25">
        <v>1</v>
      </c>
      <c r="Y282" s="25">
        <v>5</v>
      </c>
      <c r="Z282" s="25">
        <v>6.6449999999999996</v>
      </c>
      <c r="AA282" s="25">
        <f>Z283/Z282</f>
        <v>0.57592174567343868</v>
      </c>
      <c r="AB282" s="28"/>
      <c r="AC282" s="25">
        <v>5</v>
      </c>
      <c r="AD282" s="25">
        <v>9.9130000000000003</v>
      </c>
      <c r="AE282" s="25">
        <f>AD283/AD282</f>
        <v>0.50337940078684551</v>
      </c>
      <c r="AF282" s="28"/>
      <c r="AG282" s="28"/>
      <c r="AH282" s="28"/>
    </row>
    <row r="283" spans="1:34" s="25" customFormat="1" ht="20.25" customHeight="1" x14ac:dyDescent="0.45">
      <c r="A283" s="26"/>
      <c r="B283" s="28"/>
      <c r="C283" s="25">
        <v>0</v>
      </c>
      <c r="Y283" s="25">
        <v>6</v>
      </c>
      <c r="Z283" s="25">
        <v>3.827</v>
      </c>
      <c r="AA283" s="28"/>
      <c r="AB283" s="28"/>
      <c r="AC283" s="25">
        <v>6</v>
      </c>
      <c r="AD283" s="25">
        <v>4.99</v>
      </c>
      <c r="AF283" s="28"/>
      <c r="AG283" s="28"/>
      <c r="AH283" s="28"/>
    </row>
    <row r="284" spans="1:34" s="25" customFormat="1" ht="20.25" customHeight="1" x14ac:dyDescent="0.45">
      <c r="A284" s="26"/>
      <c r="B284" s="28"/>
      <c r="C284" s="25">
        <v>0</v>
      </c>
      <c r="Y284" s="25">
        <v>7</v>
      </c>
      <c r="Z284" s="25">
        <v>5.5270000000000001</v>
      </c>
      <c r="AA284" s="25">
        <f>Z285/Z284</f>
        <v>0.61588565225257819</v>
      </c>
      <c r="AB284" s="28"/>
      <c r="AC284" s="25">
        <v>7</v>
      </c>
      <c r="AD284" s="25">
        <v>10.122</v>
      </c>
      <c r="AE284" s="25">
        <f>AD285/AD284</f>
        <v>0.31831653823355066</v>
      </c>
      <c r="AF284" s="28"/>
      <c r="AG284" s="28"/>
      <c r="AH284" s="28"/>
    </row>
    <row r="285" spans="1:34" s="25" customFormat="1" ht="20.25" customHeight="1" x14ac:dyDescent="0.45">
      <c r="A285" s="26"/>
      <c r="B285" s="28"/>
      <c r="C285" s="25">
        <v>1</v>
      </c>
      <c r="Y285" s="25">
        <v>8</v>
      </c>
      <c r="Z285" s="25">
        <v>3.4039999999999999</v>
      </c>
      <c r="AA285" s="28"/>
      <c r="AB285" s="28"/>
      <c r="AC285" s="25">
        <v>8</v>
      </c>
      <c r="AD285" s="25">
        <v>3.222</v>
      </c>
      <c r="AF285" s="28"/>
      <c r="AG285" s="28"/>
      <c r="AH285" s="28"/>
    </row>
    <row r="286" spans="1:34" s="25" customFormat="1" ht="20.25" customHeight="1" x14ac:dyDescent="0.45">
      <c r="A286" s="26"/>
      <c r="B286" s="25">
        <v>3</v>
      </c>
      <c r="C286" s="25" t="s">
        <v>8</v>
      </c>
      <c r="D286" s="25" t="s">
        <v>9</v>
      </c>
      <c r="E286" s="25" t="s">
        <v>10</v>
      </c>
      <c r="F286" s="25" t="s">
        <v>9</v>
      </c>
      <c r="H286" s="25">
        <v>3</v>
      </c>
      <c r="I286" s="25" t="s">
        <v>8</v>
      </c>
      <c r="J286" s="25" t="s">
        <v>9</v>
      </c>
      <c r="K286" s="25" t="s">
        <v>10</v>
      </c>
      <c r="L286" s="25" t="s">
        <v>9</v>
      </c>
      <c r="N286" s="25">
        <v>3</v>
      </c>
      <c r="O286" s="25" t="s">
        <v>8</v>
      </c>
      <c r="P286" s="25" t="s">
        <v>9</v>
      </c>
      <c r="Q286" s="25" t="s">
        <v>10</v>
      </c>
      <c r="R286" s="25" t="s">
        <v>9</v>
      </c>
      <c r="Y286" s="25">
        <v>9</v>
      </c>
      <c r="Z286" s="25">
        <v>7.3710000000000004</v>
      </c>
      <c r="AA286" s="25">
        <f>Z287/Z286</f>
        <v>0.74820241486908146</v>
      </c>
      <c r="AB286" s="28"/>
      <c r="AC286" s="25">
        <v>9</v>
      </c>
      <c r="AD286" s="25">
        <v>9.7579999999999991</v>
      </c>
      <c r="AE286" s="25">
        <f>AD287/AD286</f>
        <v>0.4487599918015987</v>
      </c>
      <c r="AF286" s="28"/>
      <c r="AG286" s="28"/>
      <c r="AH286" s="28"/>
    </row>
    <row r="287" spans="1:34" s="25" customFormat="1" ht="20.25" customHeight="1" x14ac:dyDescent="0.45">
      <c r="A287" s="26"/>
      <c r="B287" s="28"/>
      <c r="Y287" s="25">
        <v>10</v>
      </c>
      <c r="Z287" s="25">
        <v>5.5149999999999997</v>
      </c>
      <c r="AA287" s="28"/>
      <c r="AB287" s="28"/>
      <c r="AC287" s="25">
        <v>10</v>
      </c>
      <c r="AD287" s="25">
        <v>4.3789999999999996</v>
      </c>
      <c r="AF287" s="28"/>
      <c r="AG287" s="28"/>
      <c r="AH287" s="28"/>
    </row>
    <row r="288" spans="1:34" s="25" customFormat="1" ht="20.25" customHeight="1" x14ac:dyDescent="0.45">
      <c r="A288" s="26"/>
      <c r="B288" s="28"/>
      <c r="Y288" s="25">
        <v>11</v>
      </c>
      <c r="Z288" s="25">
        <v>5.7110000000000003</v>
      </c>
      <c r="AA288" s="25">
        <f>Z289/Z288</f>
        <v>0.72421642444405532</v>
      </c>
      <c r="AB288" s="28"/>
      <c r="AC288" s="25">
        <v>11</v>
      </c>
      <c r="AD288" s="25">
        <v>10.776999999999999</v>
      </c>
      <c r="AE288" s="25">
        <f>AD289/AD288</f>
        <v>0.33636447991092144</v>
      </c>
      <c r="AF288" s="28"/>
      <c r="AG288" s="28"/>
      <c r="AH288" s="28"/>
    </row>
    <row r="289" spans="1:34" s="25" customFormat="1" ht="20.25" customHeight="1" x14ac:dyDescent="0.45">
      <c r="A289" s="26"/>
      <c r="B289" s="28"/>
      <c r="Y289" s="25">
        <v>12</v>
      </c>
      <c r="Z289" s="25">
        <v>4.1360000000000001</v>
      </c>
      <c r="AA289" s="28"/>
      <c r="AB289" s="28"/>
      <c r="AC289" s="25">
        <v>12</v>
      </c>
      <c r="AD289" s="25">
        <v>3.625</v>
      </c>
      <c r="AF289" s="28"/>
      <c r="AG289" s="28"/>
      <c r="AH289" s="28"/>
    </row>
    <row r="290" spans="1:34" s="25" customFormat="1" ht="20.25" customHeight="1" x14ac:dyDescent="0.45">
      <c r="A290" s="26"/>
      <c r="B290" s="28"/>
      <c r="Y290" s="25">
        <v>13</v>
      </c>
      <c r="Z290" s="25">
        <v>7.657</v>
      </c>
      <c r="AA290" s="25">
        <f>Z291/Z290</f>
        <v>0.67337077184275818</v>
      </c>
      <c r="AB290" s="28"/>
      <c r="AC290" s="25">
        <v>13</v>
      </c>
      <c r="AD290" s="25">
        <v>8.51</v>
      </c>
      <c r="AE290" s="25">
        <f>AD291/AD290</f>
        <v>0.5673325499412456</v>
      </c>
      <c r="AF290" s="28"/>
      <c r="AG290" s="28"/>
      <c r="AH290" s="28"/>
    </row>
    <row r="291" spans="1:34" s="25" customFormat="1" ht="20.25" customHeight="1" x14ac:dyDescent="0.45">
      <c r="A291" s="26"/>
      <c r="B291" s="28"/>
      <c r="Y291" s="25">
        <v>14</v>
      </c>
      <c r="Z291" s="25">
        <v>5.1559999999999997</v>
      </c>
      <c r="AA291" s="28"/>
      <c r="AB291" s="28"/>
      <c r="AC291" s="25">
        <v>14</v>
      </c>
      <c r="AD291" s="25">
        <v>4.8280000000000003</v>
      </c>
      <c r="AF291" s="28"/>
      <c r="AG291" s="28"/>
      <c r="AH291" s="28"/>
    </row>
    <row r="292" spans="1:34" s="25" customFormat="1" ht="20.25" customHeight="1" x14ac:dyDescent="0.45">
      <c r="A292" s="26"/>
      <c r="B292" s="25">
        <v>4</v>
      </c>
      <c r="C292" s="25" t="s">
        <v>8</v>
      </c>
      <c r="D292" s="25" t="s">
        <v>9</v>
      </c>
      <c r="E292" s="25" t="s">
        <v>10</v>
      </c>
      <c r="F292" s="25" t="s">
        <v>9</v>
      </c>
      <c r="H292" s="25">
        <v>4</v>
      </c>
      <c r="I292" s="25" t="s">
        <v>8</v>
      </c>
      <c r="J292" s="25" t="s">
        <v>9</v>
      </c>
      <c r="K292" s="25" t="s">
        <v>10</v>
      </c>
      <c r="L292" s="25" t="s">
        <v>9</v>
      </c>
      <c r="N292" s="25">
        <v>4</v>
      </c>
      <c r="O292" s="25" t="s">
        <v>8</v>
      </c>
      <c r="P292" s="25" t="s">
        <v>9</v>
      </c>
      <c r="Q292" s="25" t="s">
        <v>10</v>
      </c>
      <c r="R292" s="25" t="s">
        <v>9</v>
      </c>
      <c r="Y292" s="25">
        <v>15</v>
      </c>
      <c r="Z292" s="25">
        <v>12.871</v>
      </c>
      <c r="AA292" s="25">
        <f>Z293/Z292</f>
        <v>0.29073110092455906</v>
      </c>
      <c r="AB292" s="28"/>
      <c r="AC292" s="25">
        <v>15</v>
      </c>
      <c r="AD292" s="25">
        <v>6.758</v>
      </c>
      <c r="AE292" s="25">
        <f>AD293/AD292</f>
        <v>0.6211897010949986</v>
      </c>
      <c r="AF292" s="28"/>
      <c r="AG292" s="28"/>
      <c r="AH292" s="28"/>
    </row>
    <row r="293" spans="1:34" s="25" customFormat="1" ht="20.25" customHeight="1" x14ac:dyDescent="0.45">
      <c r="A293" s="26"/>
      <c r="B293" s="28"/>
      <c r="Y293" s="25">
        <v>16</v>
      </c>
      <c r="Z293" s="25">
        <v>3.742</v>
      </c>
      <c r="AA293" s="28"/>
      <c r="AB293" s="28"/>
      <c r="AC293" s="25">
        <v>16</v>
      </c>
      <c r="AD293" s="25">
        <v>4.1980000000000004</v>
      </c>
      <c r="AF293" s="28"/>
      <c r="AG293" s="28"/>
      <c r="AH293" s="28"/>
    </row>
    <row r="294" spans="1:34" s="25" customFormat="1" ht="20.25" customHeight="1" x14ac:dyDescent="0.45">
      <c r="A294" s="26"/>
      <c r="B294" s="28"/>
      <c r="Y294" s="25">
        <v>17</v>
      </c>
      <c r="Z294" s="25">
        <v>6.7990000000000004</v>
      </c>
      <c r="AA294" s="25">
        <f>Z295/Z294</f>
        <v>0.56287689366083249</v>
      </c>
      <c r="AB294" s="28"/>
      <c r="AC294" s="25">
        <v>17</v>
      </c>
      <c r="AD294" s="25">
        <v>7.8</v>
      </c>
      <c r="AE294" s="25">
        <f>AD295/AD294</f>
        <v>0.36974358974358973</v>
      </c>
      <c r="AF294" s="28"/>
      <c r="AG294" s="28"/>
      <c r="AH294" s="28"/>
    </row>
    <row r="295" spans="1:34" s="25" customFormat="1" ht="20.25" customHeight="1" x14ac:dyDescent="0.45">
      <c r="A295" s="26"/>
      <c r="B295" s="28"/>
      <c r="Y295" s="25">
        <v>18</v>
      </c>
      <c r="Z295" s="25">
        <v>3.827</v>
      </c>
      <c r="AA295" s="28"/>
      <c r="AB295" s="28"/>
      <c r="AC295" s="25">
        <v>18</v>
      </c>
      <c r="AD295" s="25">
        <v>2.8839999999999999</v>
      </c>
      <c r="AF295" s="28"/>
      <c r="AG295" s="28"/>
      <c r="AH295" s="28"/>
    </row>
    <row r="296" spans="1:34" s="25" customFormat="1" ht="20.25" customHeight="1" x14ac:dyDescent="0.45">
      <c r="A296" s="26"/>
      <c r="B296" s="28"/>
      <c r="Y296" s="25">
        <v>19</v>
      </c>
      <c r="Z296" s="25">
        <v>8.7789999999999999</v>
      </c>
      <c r="AA296" s="25">
        <f>Z297/Z296</f>
        <v>0.42624444697573755</v>
      </c>
      <c r="AB296" s="28"/>
      <c r="AC296" s="25">
        <v>19</v>
      </c>
      <c r="AD296" s="25">
        <v>9.8350000000000009</v>
      </c>
      <c r="AE296" s="25">
        <f>AD297/AD296</f>
        <v>0.44870360955770205</v>
      </c>
      <c r="AF296" s="28"/>
      <c r="AG296" s="28"/>
      <c r="AH296" s="28"/>
    </row>
    <row r="297" spans="1:34" s="25" customFormat="1" ht="20.25" customHeight="1" x14ac:dyDescent="0.45">
      <c r="A297" s="26"/>
      <c r="B297" s="28"/>
      <c r="Y297" s="25">
        <v>20</v>
      </c>
      <c r="Z297" s="25">
        <v>3.742</v>
      </c>
      <c r="AA297" s="28"/>
      <c r="AB297" s="28"/>
      <c r="AC297" s="25">
        <v>20</v>
      </c>
      <c r="AD297" s="25">
        <v>4.4130000000000003</v>
      </c>
      <c r="AF297" s="28"/>
      <c r="AG297" s="28"/>
      <c r="AH297" s="28"/>
    </row>
    <row r="298" spans="1:34" s="25" customFormat="1" ht="20.25" customHeight="1" x14ac:dyDescent="0.45">
      <c r="A298" s="26"/>
      <c r="B298" s="25">
        <v>5</v>
      </c>
      <c r="C298" s="25" t="s">
        <v>8</v>
      </c>
      <c r="D298" s="25" t="s">
        <v>9</v>
      </c>
      <c r="E298" s="25" t="s">
        <v>10</v>
      </c>
      <c r="F298" s="25" t="s">
        <v>9</v>
      </c>
      <c r="H298" s="25">
        <v>5</v>
      </c>
      <c r="I298" s="25" t="s">
        <v>8</v>
      </c>
      <c r="J298" s="25" t="s">
        <v>9</v>
      </c>
      <c r="K298" s="25" t="s">
        <v>10</v>
      </c>
      <c r="L298" s="25" t="s">
        <v>9</v>
      </c>
      <c r="N298" s="25">
        <v>5</v>
      </c>
      <c r="O298" s="25" t="s">
        <v>8</v>
      </c>
      <c r="P298" s="25" t="s">
        <v>9</v>
      </c>
      <c r="Q298" s="25" t="s">
        <v>10</v>
      </c>
      <c r="R298" s="25" t="s">
        <v>9</v>
      </c>
      <c r="AA298" s="25">
        <f>SUM(AA278:AA297)</f>
        <v>6.2604822727877654</v>
      </c>
      <c r="AE298" s="25">
        <f>SUM(AE278:AE297)</f>
        <v>4.2204541243576408</v>
      </c>
    </row>
    <row r="299" spans="1:34" s="25" customFormat="1" ht="20.25" customHeight="1" x14ac:dyDescent="0.45">
      <c r="A299" s="26"/>
      <c r="B299" s="28"/>
    </row>
    <row r="300" spans="1:34" s="25" customFormat="1" ht="20.25" customHeight="1" x14ac:dyDescent="0.45">
      <c r="A300" s="26"/>
      <c r="B300" s="28"/>
      <c r="Y300" s="25" t="s">
        <v>66</v>
      </c>
    </row>
    <row r="301" spans="1:34" s="25" customFormat="1" ht="20.25" customHeight="1" x14ac:dyDescent="0.45">
      <c r="A301" s="26"/>
      <c r="B301" s="28"/>
      <c r="Y301" s="25">
        <v>1</v>
      </c>
      <c r="Z301" s="25">
        <v>8.3030000000000008</v>
      </c>
      <c r="AA301" s="25">
        <f>Z302/Z301</f>
        <v>0.42791762013729973</v>
      </c>
      <c r="AB301" s="28"/>
      <c r="AC301" s="25">
        <v>1</v>
      </c>
      <c r="AD301" s="25">
        <v>9.6159999999999997</v>
      </c>
      <c r="AE301" s="25">
        <f>AD302/AD301</f>
        <v>0.40723793677204662</v>
      </c>
      <c r="AF301" s="28"/>
      <c r="AG301" s="28"/>
      <c r="AH301" s="28"/>
    </row>
    <row r="302" spans="1:34" s="25" customFormat="1" ht="20.25" customHeight="1" x14ac:dyDescent="0.45">
      <c r="A302" s="26"/>
      <c r="B302" s="28"/>
      <c r="Y302" s="25">
        <v>2</v>
      </c>
      <c r="Z302" s="25">
        <v>3.5529999999999999</v>
      </c>
      <c r="AA302" s="28"/>
      <c r="AB302" s="28"/>
      <c r="AC302" s="25">
        <v>2</v>
      </c>
      <c r="AD302" s="25">
        <v>3.9159999999999999</v>
      </c>
      <c r="AE302" s="28"/>
      <c r="AF302" s="28"/>
      <c r="AG302" s="28"/>
      <c r="AH302" s="28"/>
    </row>
    <row r="303" spans="1:34" s="25" customFormat="1" ht="20.25" customHeight="1" x14ac:dyDescent="0.45">
      <c r="A303" s="26"/>
      <c r="B303" s="28"/>
      <c r="Y303" s="25">
        <v>3</v>
      </c>
      <c r="Z303" s="25">
        <v>9.423</v>
      </c>
      <c r="AA303" s="25">
        <f>Z304/Z303</f>
        <v>0.49697548551416743</v>
      </c>
      <c r="AB303" s="28"/>
      <c r="AC303" s="25">
        <v>3</v>
      </c>
      <c r="AD303" s="25">
        <v>11.641999999999999</v>
      </c>
      <c r="AE303" s="25">
        <f>AD304/AD303</f>
        <v>0.32537364713966671</v>
      </c>
      <c r="AF303" s="28"/>
      <c r="AG303" s="28"/>
      <c r="AH303" s="28"/>
    </row>
    <row r="304" spans="1:34" s="25" customFormat="1" ht="20.25" customHeight="1" x14ac:dyDescent="0.45">
      <c r="A304" s="26"/>
      <c r="B304" s="28"/>
      <c r="Y304" s="25">
        <v>4</v>
      </c>
      <c r="Z304" s="25">
        <v>4.6829999999999998</v>
      </c>
      <c r="AA304" s="28"/>
      <c r="AB304" s="28"/>
      <c r="AC304" s="25">
        <v>4</v>
      </c>
      <c r="AD304" s="25">
        <v>3.7879999999999998</v>
      </c>
      <c r="AE304" s="28"/>
      <c r="AF304" s="28"/>
      <c r="AG304" s="28"/>
      <c r="AH304" s="28"/>
    </row>
    <row r="305" spans="1:34" s="25" customFormat="1" ht="20.25" customHeight="1" x14ac:dyDescent="0.55000000000000004">
      <c r="A305" s="26"/>
      <c r="B305" s="28"/>
      <c r="J305" s="31" t="s">
        <v>59</v>
      </c>
      <c r="K305" s="31" t="s">
        <v>67</v>
      </c>
      <c r="Y305" s="25">
        <v>5</v>
      </c>
      <c r="Z305" s="25">
        <v>6.8090000000000002</v>
      </c>
      <c r="AA305" s="25">
        <f>Z306/Z305</f>
        <v>0.77603172271992948</v>
      </c>
      <c r="AB305" s="28"/>
      <c r="AC305" s="25">
        <v>5</v>
      </c>
      <c r="AD305" s="25">
        <v>8.1379999999999999</v>
      </c>
      <c r="AE305" s="25">
        <f>AD306/AD305</f>
        <v>0.58724502334725981</v>
      </c>
      <c r="AF305" s="28"/>
      <c r="AG305" s="28"/>
      <c r="AH305" s="28"/>
    </row>
    <row r="306" spans="1:34" s="25" customFormat="1" ht="20.25" customHeight="1" x14ac:dyDescent="0.55000000000000004">
      <c r="A306" s="26"/>
      <c r="B306" s="28"/>
      <c r="J306" s="31">
        <f>24/41</f>
        <v>0.58536585365853655</v>
      </c>
      <c r="K306" s="31">
        <f>68/31</f>
        <v>2.193548387096774</v>
      </c>
      <c r="M306" s="27" t="s">
        <v>14</v>
      </c>
      <c r="N306" s="27">
        <f>TTEST(J306:J308,K306:K308,2,2)</f>
        <v>1.391741498110439E-2</v>
      </c>
      <c r="Y306" s="25">
        <v>6</v>
      </c>
      <c r="Z306" s="25">
        <v>5.2839999999999998</v>
      </c>
      <c r="AA306" s="28"/>
      <c r="AB306" s="28"/>
      <c r="AC306" s="25">
        <v>6</v>
      </c>
      <c r="AD306" s="25">
        <v>4.7789999999999999</v>
      </c>
      <c r="AE306" s="28"/>
      <c r="AF306" s="28"/>
      <c r="AG306" s="28"/>
      <c r="AH306" s="28"/>
    </row>
    <row r="307" spans="1:34" s="25" customFormat="1" ht="20.25" customHeight="1" x14ac:dyDescent="0.55000000000000004">
      <c r="A307" s="26"/>
      <c r="B307" s="28"/>
      <c r="J307" s="31">
        <f>10/38</f>
        <v>0.26315789473684209</v>
      </c>
      <c r="K307" s="31">
        <f>44/32</f>
        <v>1.375</v>
      </c>
      <c r="Y307" s="25">
        <v>7</v>
      </c>
      <c r="Z307" s="25">
        <v>5.8159999999999998</v>
      </c>
      <c r="AA307" s="25">
        <f>Z308/Z307</f>
        <v>0.99931224209078418</v>
      </c>
      <c r="AB307" s="28"/>
      <c r="AC307" s="25">
        <v>7</v>
      </c>
      <c r="AD307" s="25">
        <v>6.7869999999999999</v>
      </c>
      <c r="AE307" s="25">
        <f>AD308/AD307</f>
        <v>0.31928687196110206</v>
      </c>
      <c r="AF307" s="28"/>
      <c r="AG307" s="28"/>
      <c r="AH307" s="28"/>
    </row>
    <row r="308" spans="1:34" s="25" customFormat="1" ht="20.25" customHeight="1" x14ac:dyDescent="0.55000000000000004">
      <c r="A308" s="26"/>
      <c r="B308" s="28"/>
      <c r="J308" s="31">
        <f>6/18</f>
        <v>0.33333333333333331</v>
      </c>
      <c r="K308" s="31">
        <f>12/9</f>
        <v>1.3333333333333333</v>
      </c>
      <c r="Y308" s="25">
        <v>8</v>
      </c>
      <c r="Z308" s="25">
        <v>5.8120000000000003</v>
      </c>
      <c r="AA308" s="28"/>
      <c r="AB308" s="28"/>
      <c r="AC308" s="25">
        <v>8</v>
      </c>
      <c r="AD308" s="25">
        <v>2.1669999999999998</v>
      </c>
      <c r="AE308" s="28"/>
      <c r="AF308" s="28"/>
      <c r="AG308" s="28"/>
      <c r="AH308" s="28"/>
    </row>
    <row r="309" spans="1:34" s="25" customFormat="1" ht="20.25" customHeight="1" x14ac:dyDescent="0.45">
      <c r="A309" s="26"/>
      <c r="B309" s="28"/>
      <c r="J309" s="27">
        <f>STDEVA(J306,J307,J308)</f>
        <v>0.16944170692609309</v>
      </c>
      <c r="K309" s="27">
        <f>STDEV(K306,K307,K308)</f>
        <v>0.48506486024226442</v>
      </c>
      <c r="Y309" s="25">
        <v>9</v>
      </c>
      <c r="Z309" s="25">
        <v>7.9450000000000003</v>
      </c>
      <c r="AA309" s="25">
        <f>Z310/Z309</f>
        <v>0.46733794839521708</v>
      </c>
      <c r="AB309" s="28"/>
      <c r="AC309" s="25">
        <v>9</v>
      </c>
      <c r="AD309" s="25">
        <v>13.135999999999999</v>
      </c>
      <c r="AE309" s="25">
        <f>AD310/AD309</f>
        <v>0.22122411693057251</v>
      </c>
      <c r="AF309" s="28"/>
      <c r="AG309" s="28"/>
      <c r="AH309" s="28"/>
    </row>
    <row r="310" spans="1:34" s="25" customFormat="1" ht="20.25" customHeight="1" x14ac:dyDescent="0.45">
      <c r="A310" s="26"/>
      <c r="B310" s="28"/>
      <c r="J310" s="27">
        <f>(J306+J307+J308)/3</f>
        <v>0.39395236057623734</v>
      </c>
      <c r="K310" s="27">
        <f>(K306+K307+K308)/3</f>
        <v>1.6339605734767024</v>
      </c>
      <c r="Y310" s="25">
        <v>10</v>
      </c>
      <c r="Z310" s="25">
        <v>3.7130000000000001</v>
      </c>
      <c r="AA310" s="28"/>
      <c r="AB310" s="28"/>
      <c r="AC310" s="25">
        <v>10</v>
      </c>
      <c r="AD310" s="25">
        <v>2.9060000000000001</v>
      </c>
      <c r="AE310" s="28"/>
      <c r="AF310" s="28"/>
      <c r="AG310" s="28"/>
      <c r="AH310" s="28"/>
    </row>
    <row r="311" spans="1:34" s="25" customFormat="1" ht="20.25" customHeight="1" x14ac:dyDescent="0.45">
      <c r="A311" s="26"/>
      <c r="B311" s="28"/>
      <c r="Y311" s="25">
        <v>11</v>
      </c>
      <c r="Z311" s="25">
        <v>8.9130000000000003</v>
      </c>
      <c r="AA311" s="25">
        <f>Z312/Z311</f>
        <v>0.56849545607539553</v>
      </c>
      <c r="AB311" s="28"/>
      <c r="AC311" s="25">
        <v>11</v>
      </c>
      <c r="AD311" s="25">
        <v>10.43</v>
      </c>
      <c r="AE311" s="25">
        <f>AD312/AD311</f>
        <v>0.35877277085330778</v>
      </c>
      <c r="AF311" s="28"/>
      <c r="AG311" s="28"/>
      <c r="AH311" s="28"/>
    </row>
    <row r="312" spans="1:34" s="25" customFormat="1" ht="20.25" customHeight="1" x14ac:dyDescent="0.45">
      <c r="A312" s="30" t="s">
        <v>68</v>
      </c>
      <c r="B312" s="25" t="s">
        <v>69</v>
      </c>
      <c r="L312" s="27" t="s">
        <v>70</v>
      </c>
      <c r="Y312" s="25">
        <v>12</v>
      </c>
      <c r="Z312" s="25">
        <v>5.0670000000000002</v>
      </c>
      <c r="AA312" s="28"/>
      <c r="AB312" s="28"/>
      <c r="AC312" s="25">
        <v>12</v>
      </c>
      <c r="AD312" s="25">
        <v>3.742</v>
      </c>
      <c r="AE312" s="28"/>
      <c r="AF312" s="28"/>
      <c r="AG312" s="28"/>
      <c r="AH312" s="28"/>
    </row>
    <row r="313" spans="1:34" s="25" customFormat="1" ht="20.25" customHeight="1" x14ac:dyDescent="0.45">
      <c r="A313" s="25" t="s">
        <v>71</v>
      </c>
      <c r="B313" s="27" t="s">
        <v>10</v>
      </c>
      <c r="C313" s="27" t="s">
        <v>72</v>
      </c>
      <c r="D313" s="27" t="s">
        <v>73</v>
      </c>
      <c r="E313" s="27" t="s">
        <v>74</v>
      </c>
      <c r="G313" s="27" t="s">
        <v>8</v>
      </c>
      <c r="H313" s="27" t="s">
        <v>72</v>
      </c>
      <c r="I313" s="27" t="s">
        <v>73</v>
      </c>
      <c r="J313" s="27" t="s">
        <v>74</v>
      </c>
      <c r="L313" s="27" t="s">
        <v>10</v>
      </c>
      <c r="M313" s="27" t="s">
        <v>72</v>
      </c>
      <c r="N313" s="27" t="s">
        <v>73</v>
      </c>
      <c r="O313" s="27" t="s">
        <v>74</v>
      </c>
      <c r="Q313" s="27" t="s">
        <v>8</v>
      </c>
      <c r="R313" s="27" t="s">
        <v>72</v>
      </c>
      <c r="S313" s="27" t="s">
        <v>73</v>
      </c>
      <c r="T313" s="27" t="s">
        <v>74</v>
      </c>
      <c r="Y313" s="25">
        <v>13</v>
      </c>
      <c r="Z313" s="25">
        <v>3.9489999999999998</v>
      </c>
      <c r="AA313" s="25">
        <f>Z313/Z314</f>
        <v>0.73992879895072139</v>
      </c>
      <c r="AB313" s="28"/>
      <c r="AC313" s="25">
        <v>13</v>
      </c>
      <c r="AD313" s="25">
        <v>9.0050000000000008</v>
      </c>
      <c r="AE313" s="25">
        <f>AD314/AD313</f>
        <v>0.28139922265408102</v>
      </c>
      <c r="AF313" s="28"/>
      <c r="AG313" s="28"/>
      <c r="AH313" s="28"/>
    </row>
    <row r="314" spans="1:34" s="25" customFormat="1" ht="20.25" customHeight="1" x14ac:dyDescent="0.45">
      <c r="A314" s="26"/>
      <c r="B314" s="28">
        <v>1</v>
      </c>
      <c r="C314" s="29"/>
      <c r="D314" s="27">
        <v>9.0449999999999999</v>
      </c>
      <c r="E314" s="27">
        <f>D314/(90/C315)</f>
        <v>4.8612855000000001</v>
      </c>
      <c r="G314" s="27">
        <v>1</v>
      </c>
      <c r="H314" s="29"/>
      <c r="I314" s="27">
        <v>7.5410000000000004</v>
      </c>
      <c r="J314" s="27">
        <f>I314/(90/H315)</f>
        <v>6.5902474777777789</v>
      </c>
      <c r="L314" s="27">
        <v>1</v>
      </c>
      <c r="M314" s="29"/>
      <c r="N314" s="27">
        <v>7.577</v>
      </c>
      <c r="O314" s="27">
        <f>N314/(90/(M315-90))</f>
        <v>2.3566995666666664</v>
      </c>
      <c r="P314" s="29"/>
      <c r="Q314" s="27">
        <v>1</v>
      </c>
      <c r="R314" s="29"/>
      <c r="S314" s="27">
        <v>8.6709999999999994</v>
      </c>
      <c r="T314" s="27">
        <f>S314/(90/(R315-90))</f>
        <v>7.6210382444444447</v>
      </c>
      <c r="Y314" s="25">
        <v>14</v>
      </c>
      <c r="Z314" s="25">
        <v>5.3369999999999997</v>
      </c>
      <c r="AA314" s="28"/>
      <c r="AB314" s="28"/>
      <c r="AC314" s="25">
        <v>14</v>
      </c>
      <c r="AD314" s="25">
        <v>2.5339999999999998</v>
      </c>
      <c r="AE314" s="28"/>
      <c r="AF314" s="28"/>
      <c r="AG314" s="28"/>
      <c r="AH314" s="28"/>
    </row>
    <row r="315" spans="1:34" s="25" customFormat="1" ht="20.25" customHeight="1" x14ac:dyDescent="0.45">
      <c r="A315" s="26"/>
      <c r="B315" s="28">
        <v>2</v>
      </c>
      <c r="C315" s="27">
        <v>48.371000000000002</v>
      </c>
      <c r="D315" s="29"/>
      <c r="E315" s="29"/>
      <c r="G315" s="27">
        <v>2</v>
      </c>
      <c r="H315" s="27">
        <v>78.653000000000006</v>
      </c>
      <c r="I315" s="29"/>
      <c r="J315" s="29"/>
      <c r="L315" s="27">
        <v>2</v>
      </c>
      <c r="M315" s="27">
        <v>117.99299999999999</v>
      </c>
      <c r="N315" s="29"/>
      <c r="O315" s="29"/>
      <c r="P315" s="29"/>
      <c r="Q315" s="27">
        <v>2</v>
      </c>
      <c r="R315" s="27">
        <v>169.102</v>
      </c>
      <c r="S315" s="29"/>
      <c r="T315" s="29"/>
      <c r="Y315" s="25">
        <v>15</v>
      </c>
      <c r="Z315" s="25">
        <v>5.976</v>
      </c>
      <c r="AA315" s="25">
        <f>Z316/Z315</f>
        <v>0.79969879518072284</v>
      </c>
      <c r="AB315" s="28"/>
      <c r="AC315" s="25">
        <v>15</v>
      </c>
      <c r="AD315" s="25">
        <v>4.03</v>
      </c>
      <c r="AE315" s="25">
        <f>AD316/AD315</f>
        <v>0.94962779156327537</v>
      </c>
      <c r="AF315" s="28"/>
      <c r="AG315" s="28"/>
      <c r="AH315" s="28"/>
    </row>
    <row r="316" spans="1:34" s="25" customFormat="1" ht="20.25" customHeight="1" x14ac:dyDescent="0.45">
      <c r="A316" s="26"/>
      <c r="B316" s="28">
        <v>3</v>
      </c>
      <c r="C316" s="29"/>
      <c r="D316" s="27">
        <v>8.0809999999999995</v>
      </c>
      <c r="E316" s="27">
        <f>D316/(90/C317)</f>
        <v>4.6478320444444448</v>
      </c>
      <c r="G316" s="27">
        <v>3</v>
      </c>
      <c r="H316" s="29"/>
      <c r="I316" s="27">
        <v>5.3079999999999998</v>
      </c>
      <c r="J316" s="27">
        <f>I316/(90/H317)</f>
        <v>5.0785764444444439</v>
      </c>
      <c r="L316" s="27">
        <v>3</v>
      </c>
      <c r="M316" s="29"/>
      <c r="N316" s="27">
        <v>6.0609999999999999</v>
      </c>
      <c r="O316" s="27">
        <f>N316/(90/(M317-90))</f>
        <v>5.1797305999999992</v>
      </c>
      <c r="P316" s="29"/>
      <c r="Q316" s="27">
        <v>3</v>
      </c>
      <c r="R316" s="29"/>
      <c r="S316" s="27">
        <v>7.5010000000000003</v>
      </c>
      <c r="T316" s="27">
        <f>S316/(90/(R317-90))</f>
        <v>6.5812107111111109</v>
      </c>
      <c r="Y316" s="25">
        <v>16</v>
      </c>
      <c r="Z316" s="25">
        <v>4.7789999999999999</v>
      </c>
      <c r="AA316" s="28"/>
      <c r="AB316" s="28"/>
      <c r="AC316" s="25">
        <v>16</v>
      </c>
      <c r="AD316" s="25">
        <v>3.827</v>
      </c>
      <c r="AE316" s="28"/>
      <c r="AF316" s="28"/>
      <c r="AG316" s="28"/>
      <c r="AH316" s="28"/>
    </row>
    <row r="317" spans="1:34" s="25" customFormat="1" ht="20.25" customHeight="1" x14ac:dyDescent="0.45">
      <c r="A317" s="26"/>
      <c r="B317" s="28">
        <v>4</v>
      </c>
      <c r="C317" s="27">
        <v>51.764000000000003</v>
      </c>
      <c r="D317" s="29"/>
      <c r="E317" s="29"/>
      <c r="G317" s="27">
        <v>4</v>
      </c>
      <c r="H317" s="27">
        <v>86.11</v>
      </c>
      <c r="I317" s="29"/>
      <c r="J317" s="29"/>
      <c r="L317" s="27">
        <v>4</v>
      </c>
      <c r="M317" s="27">
        <v>166.91399999999999</v>
      </c>
      <c r="N317" s="29"/>
      <c r="O317" s="29"/>
      <c r="P317" s="29"/>
      <c r="Q317" s="27">
        <v>4</v>
      </c>
      <c r="R317" s="27">
        <v>168.964</v>
      </c>
      <c r="S317" s="29"/>
      <c r="T317" s="29"/>
      <c r="Y317" s="25">
        <v>17</v>
      </c>
      <c r="Z317" s="25">
        <v>6.6550000000000002</v>
      </c>
      <c r="AA317" s="25">
        <f>Z318/Z317</f>
        <v>0.5750563486100676</v>
      </c>
      <c r="AB317" s="28"/>
      <c r="AC317" s="25">
        <v>17</v>
      </c>
      <c r="AD317" s="25">
        <v>6.5179999999999998</v>
      </c>
      <c r="AE317" s="25">
        <f>AD318/AD317</f>
        <v>0.81620128873887698</v>
      </c>
      <c r="AF317" s="28"/>
      <c r="AG317" s="28"/>
      <c r="AH317" s="28"/>
    </row>
    <row r="318" spans="1:34" s="25" customFormat="1" ht="20.25" customHeight="1" x14ac:dyDescent="0.45">
      <c r="A318" s="26"/>
      <c r="B318" s="28">
        <v>5</v>
      </c>
      <c r="C318" s="29"/>
      <c r="D318" s="27">
        <v>7.17</v>
      </c>
      <c r="E318" s="27">
        <f>D318/(90/C319)</f>
        <v>6.3409089999999999</v>
      </c>
      <c r="G318" s="27">
        <v>5</v>
      </c>
      <c r="H318" s="29"/>
      <c r="I318" s="27">
        <v>13.509</v>
      </c>
      <c r="J318" s="27">
        <f>I318/(90/H319)</f>
        <v>12.326061900000001</v>
      </c>
      <c r="L318" s="27">
        <v>5</v>
      </c>
      <c r="M318" s="29"/>
      <c r="N318" s="27">
        <v>8.7710000000000008</v>
      </c>
      <c r="O318" s="27">
        <f>N318/(90/(M319-90))</f>
        <v>7.1139631888888903</v>
      </c>
      <c r="P318" s="29"/>
      <c r="Q318" s="27">
        <v>5</v>
      </c>
      <c r="R318" s="29"/>
      <c r="S318" s="27">
        <v>9.1379999999999999</v>
      </c>
      <c r="T318" s="27">
        <f>S318/(90/(R319-90))</f>
        <v>6.7965397999999988</v>
      </c>
      <c r="Y318" s="25">
        <v>18</v>
      </c>
      <c r="Z318" s="25">
        <v>3.827</v>
      </c>
      <c r="AA318" s="28"/>
      <c r="AB318" s="28"/>
      <c r="AC318" s="25">
        <v>18</v>
      </c>
      <c r="AD318" s="25">
        <v>5.32</v>
      </c>
      <c r="AE318" s="28"/>
      <c r="AF318" s="28"/>
      <c r="AG318" s="28"/>
      <c r="AH318" s="28"/>
    </row>
    <row r="319" spans="1:34" s="25" customFormat="1" ht="20.25" customHeight="1" x14ac:dyDescent="0.45">
      <c r="A319" s="26"/>
      <c r="B319" s="28">
        <v>6</v>
      </c>
      <c r="C319" s="27">
        <v>79.593000000000004</v>
      </c>
      <c r="D319" s="29"/>
      <c r="E319" s="29"/>
      <c r="G319" s="27">
        <v>6</v>
      </c>
      <c r="H319" s="27">
        <v>82.119</v>
      </c>
      <c r="I319" s="29"/>
      <c r="J319" s="29"/>
      <c r="L319" s="27">
        <v>6</v>
      </c>
      <c r="M319" s="27">
        <v>162.99700000000001</v>
      </c>
      <c r="N319" s="29"/>
      <c r="O319" s="29"/>
      <c r="P319" s="29"/>
      <c r="Q319" s="27">
        <v>6</v>
      </c>
      <c r="R319" s="27">
        <v>156.93899999999999</v>
      </c>
      <c r="S319" s="29"/>
      <c r="T319" s="29"/>
      <c r="Y319" s="25">
        <v>19</v>
      </c>
      <c r="Z319" s="25">
        <v>7.8129999999999997</v>
      </c>
      <c r="AA319" s="25">
        <f>Z320/Z319</f>
        <v>0.76078330986816844</v>
      </c>
      <c r="AB319" s="28"/>
      <c r="AC319" s="25">
        <v>19</v>
      </c>
      <c r="AD319" s="25">
        <v>7.89</v>
      </c>
      <c r="AE319" s="25">
        <f>AD320/AD319</f>
        <v>0.49429657794676807</v>
      </c>
      <c r="AF319" s="28"/>
      <c r="AG319" s="28"/>
      <c r="AH319" s="28"/>
    </row>
    <row r="320" spans="1:34" s="25" customFormat="1" ht="20.25" customHeight="1" x14ac:dyDescent="0.45">
      <c r="A320" s="26"/>
      <c r="B320" s="28">
        <v>7</v>
      </c>
      <c r="C320" s="29"/>
      <c r="D320" s="27">
        <v>13.361000000000001</v>
      </c>
      <c r="E320" s="27">
        <f>D320/(90/C321)</f>
        <v>12.303254166666669</v>
      </c>
      <c r="G320" s="27">
        <v>7</v>
      </c>
      <c r="H320" s="29"/>
      <c r="I320" s="27">
        <v>8.7029999999999994</v>
      </c>
      <c r="J320" s="27">
        <f>I320/(90/H321)</f>
        <v>5.6675870000000002</v>
      </c>
      <c r="L320" s="27">
        <v>7</v>
      </c>
      <c r="M320" s="29"/>
      <c r="N320" s="27">
        <v>7.5759999999999996</v>
      </c>
      <c r="O320" s="27">
        <f>N320/(90/(M321-90))</f>
        <v>6.6938168888888887</v>
      </c>
      <c r="P320" s="29"/>
      <c r="Q320" s="27">
        <v>7</v>
      </c>
      <c r="R320" s="29"/>
      <c r="S320" s="27">
        <v>7.0670000000000002</v>
      </c>
      <c r="T320" s="27">
        <f>S320/(90/(R321-90))</f>
        <v>6.7672021555555544</v>
      </c>
      <c r="Y320" s="25">
        <v>20</v>
      </c>
      <c r="Z320" s="25">
        <v>5.944</v>
      </c>
      <c r="AA320" s="28"/>
      <c r="AB320" s="28"/>
      <c r="AC320" s="25">
        <v>20</v>
      </c>
      <c r="AD320" s="25">
        <v>3.9</v>
      </c>
      <c r="AE320" s="28"/>
      <c r="AF320" s="28"/>
      <c r="AG320" s="28"/>
      <c r="AH320" s="28"/>
    </row>
    <row r="321" spans="1:34" s="25" customFormat="1" ht="20.25" customHeight="1" x14ac:dyDescent="0.45">
      <c r="A321" s="26"/>
      <c r="B321" s="28">
        <v>8</v>
      </c>
      <c r="C321" s="27">
        <v>82.875</v>
      </c>
      <c r="D321" s="29"/>
      <c r="E321" s="29"/>
      <c r="G321" s="27">
        <v>8</v>
      </c>
      <c r="H321" s="27">
        <v>58.61</v>
      </c>
      <c r="I321" s="29"/>
      <c r="J321" s="29"/>
      <c r="L321" s="27">
        <v>8</v>
      </c>
      <c r="M321" s="27">
        <v>169.52</v>
      </c>
      <c r="N321" s="29"/>
      <c r="O321" s="29"/>
      <c r="P321" s="29"/>
      <c r="Q321" s="27">
        <v>8</v>
      </c>
      <c r="R321" s="27">
        <v>176.18199999999999</v>
      </c>
      <c r="S321" s="29"/>
      <c r="T321" s="29"/>
      <c r="AA321" s="25">
        <f>SUM(AA301:AA319)</f>
        <v>6.6115377275424736</v>
      </c>
      <c r="AE321" s="25">
        <f>SUM(AE301:AE320)</f>
        <v>4.7606652479069567</v>
      </c>
    </row>
    <row r="322" spans="1:34" s="25" customFormat="1" ht="20.25" customHeight="1" x14ac:dyDescent="0.45">
      <c r="A322" s="26"/>
      <c r="B322" s="28">
        <v>9</v>
      </c>
      <c r="C322" s="29"/>
      <c r="D322" s="27">
        <v>6.0259999999999998</v>
      </c>
      <c r="E322" s="27">
        <f>D322/(90/C323)</f>
        <v>3.3440952222222218</v>
      </c>
      <c r="G322" s="27">
        <v>9</v>
      </c>
      <c r="H322" s="29"/>
      <c r="I322" s="27">
        <v>8.9920000000000009</v>
      </c>
      <c r="J322" s="27">
        <f>I322/(90/H323)</f>
        <v>8.155144533333333</v>
      </c>
      <c r="L322" s="27">
        <v>9</v>
      </c>
      <c r="M322" s="29"/>
      <c r="N322" s="27">
        <v>7.0670000000000002</v>
      </c>
      <c r="O322" s="27">
        <f>N322/(90/(M323-90))</f>
        <v>3.2075542555555545</v>
      </c>
      <c r="P322" s="29"/>
      <c r="Q322" s="27">
        <v>9</v>
      </c>
      <c r="R322" s="29"/>
      <c r="S322" s="27">
        <v>12.765000000000001</v>
      </c>
      <c r="T322" s="27">
        <f>S322/(90/(R323-90))</f>
        <v>8.1347090000000026</v>
      </c>
    </row>
    <row r="323" spans="1:34" s="25" customFormat="1" ht="20.25" customHeight="1" x14ac:dyDescent="0.45">
      <c r="A323" s="26"/>
      <c r="B323" s="28">
        <v>10</v>
      </c>
      <c r="C323" s="27">
        <v>49.945</v>
      </c>
      <c r="D323" s="29"/>
      <c r="E323" s="29"/>
      <c r="G323" s="27">
        <v>10</v>
      </c>
      <c r="H323" s="27">
        <v>81.623999999999995</v>
      </c>
      <c r="I323" s="29"/>
      <c r="J323" s="29"/>
      <c r="L323" s="27">
        <v>10</v>
      </c>
      <c r="M323" s="27">
        <v>130.84899999999999</v>
      </c>
      <c r="N323" s="29"/>
      <c r="O323" s="29"/>
      <c r="P323" s="29"/>
      <c r="Q323" s="27">
        <v>10</v>
      </c>
      <c r="R323" s="27">
        <v>147.35400000000001</v>
      </c>
      <c r="S323" s="29"/>
      <c r="T323" s="29"/>
      <c r="Y323" s="25" t="s">
        <v>75</v>
      </c>
    </row>
    <row r="324" spans="1:34" s="25" customFormat="1" ht="20.25" customHeight="1" x14ac:dyDescent="0.45">
      <c r="A324" s="26"/>
      <c r="B324" s="28">
        <v>11</v>
      </c>
      <c r="C324" s="29"/>
      <c r="D324" s="27">
        <v>9.7080000000000002</v>
      </c>
      <c r="E324" s="27">
        <f>D324/(90/C325)</f>
        <v>9.3272306666666669</v>
      </c>
      <c r="G324" s="27">
        <v>11</v>
      </c>
      <c r="H324" s="29"/>
      <c r="I324" s="27">
        <v>8.0020000000000007</v>
      </c>
      <c r="J324" s="27">
        <f>I324/(90/H325)</f>
        <v>7.1006191555555551</v>
      </c>
      <c r="L324" s="27">
        <v>11</v>
      </c>
      <c r="M324" s="29"/>
      <c r="N324" s="27">
        <v>7.4109999999999996</v>
      </c>
      <c r="O324" s="27">
        <f>N324/(90/(M325-90))</f>
        <v>0.76382706666666633</v>
      </c>
      <c r="P324" s="29"/>
      <c r="Q324" s="27">
        <v>11</v>
      </c>
      <c r="R324" s="29"/>
      <c r="S324" s="27">
        <v>7.5449999999999999</v>
      </c>
      <c r="T324" s="27">
        <f>S324/(90/(R325-90))</f>
        <v>5.1595224999999987</v>
      </c>
      <c r="Y324" s="25">
        <v>1</v>
      </c>
      <c r="Z324" s="25">
        <v>10.255000000000001</v>
      </c>
      <c r="AA324" s="25">
        <f>Z325/Z324</f>
        <v>0.28766455387615797</v>
      </c>
      <c r="AB324" s="28"/>
      <c r="AC324" s="25">
        <v>1</v>
      </c>
      <c r="AD324" s="25">
        <v>7.8129999999999997</v>
      </c>
      <c r="AE324" s="25">
        <f>AD325/AD324</f>
        <v>0.61333674644822733</v>
      </c>
      <c r="AF324" s="28"/>
      <c r="AG324" s="28"/>
      <c r="AH324" s="28"/>
    </row>
    <row r="325" spans="1:34" s="25" customFormat="1" ht="20.25" customHeight="1" x14ac:dyDescent="0.45">
      <c r="A325" s="26"/>
      <c r="B325" s="28">
        <v>12</v>
      </c>
      <c r="C325" s="27">
        <v>86.47</v>
      </c>
      <c r="D325" s="29"/>
      <c r="E325" s="29"/>
      <c r="G325" s="27">
        <v>12</v>
      </c>
      <c r="H325" s="27">
        <v>79.861999999999995</v>
      </c>
      <c r="I325" s="29"/>
      <c r="J325" s="29"/>
      <c r="L325" s="27">
        <v>12</v>
      </c>
      <c r="M325" s="27">
        <v>99.275999999999996</v>
      </c>
      <c r="N325" s="29"/>
      <c r="O325" s="29"/>
      <c r="P325" s="29"/>
      <c r="Q325" s="27">
        <v>12</v>
      </c>
      <c r="R325" s="27">
        <v>151.54499999999999</v>
      </c>
      <c r="S325" s="29"/>
      <c r="T325" s="29"/>
      <c r="Y325" s="25">
        <v>2</v>
      </c>
      <c r="Z325" s="25">
        <v>2.95</v>
      </c>
      <c r="AA325" s="28"/>
      <c r="AB325" s="28"/>
      <c r="AC325" s="25">
        <v>2</v>
      </c>
      <c r="AD325" s="25">
        <v>4.7919999999999998</v>
      </c>
      <c r="AE325" s="28"/>
      <c r="AF325" s="28"/>
      <c r="AG325" s="28"/>
      <c r="AH325" s="28"/>
    </row>
    <row r="326" spans="1:34" s="25" customFormat="1" ht="20.25" customHeight="1" x14ac:dyDescent="0.45">
      <c r="A326" s="26"/>
      <c r="B326" s="28">
        <v>13</v>
      </c>
      <c r="C326" s="29"/>
      <c r="D326" s="27">
        <v>6.3540000000000001</v>
      </c>
      <c r="E326" s="27">
        <f>D326/(90/C327)</f>
        <v>6.2389925999999996</v>
      </c>
      <c r="G326" s="27">
        <v>13</v>
      </c>
      <c r="H326" s="29"/>
      <c r="I326" s="27">
        <v>8.9779999999999998</v>
      </c>
      <c r="J326" s="27">
        <f>I326/(90/H327)</f>
        <v>4.0159591555555556</v>
      </c>
      <c r="L326" s="27">
        <v>13</v>
      </c>
      <c r="M326" s="29"/>
      <c r="N326" s="27">
        <v>8.2479999999999993</v>
      </c>
      <c r="O326" s="27">
        <f>N326/(90/(M327-90))</f>
        <v>1.4969203555555557</v>
      </c>
      <c r="P326" s="29"/>
      <c r="Q326" s="27">
        <v>13</v>
      </c>
      <c r="R326" s="29"/>
      <c r="S326" s="27">
        <v>6.34</v>
      </c>
      <c r="T326" s="27">
        <f>S326/(90/(R327-90))</f>
        <v>5.5939933333333327</v>
      </c>
      <c r="Y326" s="25">
        <v>3</v>
      </c>
      <c r="Z326" s="25">
        <v>9.2829999999999995</v>
      </c>
      <c r="AA326" s="25">
        <f>Z327/Z326</f>
        <v>0.31778519875040401</v>
      </c>
      <c r="AB326" s="28"/>
      <c r="AC326" s="25">
        <v>3</v>
      </c>
      <c r="AD326" s="25">
        <v>6.4379999999999997</v>
      </c>
      <c r="AE326" s="25">
        <f>AD327/AD326</f>
        <v>0.87294190742466615</v>
      </c>
      <c r="AF326" s="28"/>
      <c r="AG326" s="28"/>
      <c r="AH326" s="28"/>
    </row>
    <row r="327" spans="1:34" s="25" customFormat="1" ht="20.25" customHeight="1" x14ac:dyDescent="0.45">
      <c r="A327" s="26"/>
      <c r="B327" s="28">
        <v>14</v>
      </c>
      <c r="C327" s="27">
        <v>88.370999999999995</v>
      </c>
      <c r="D327" s="29"/>
      <c r="E327" s="29"/>
      <c r="G327" s="27">
        <v>14</v>
      </c>
      <c r="H327" s="27">
        <v>40.258000000000003</v>
      </c>
      <c r="I327" s="29"/>
      <c r="J327" s="29"/>
      <c r="L327" s="27">
        <v>14</v>
      </c>
      <c r="M327" s="27">
        <v>106.334</v>
      </c>
      <c r="N327" s="29"/>
      <c r="O327" s="29"/>
      <c r="P327" s="29"/>
      <c r="Q327" s="27">
        <v>14</v>
      </c>
      <c r="R327" s="27">
        <v>169.41</v>
      </c>
      <c r="S327" s="29"/>
      <c r="T327" s="29"/>
      <c r="Y327" s="25">
        <v>4</v>
      </c>
      <c r="Z327" s="25">
        <v>2.95</v>
      </c>
      <c r="AA327" s="28"/>
      <c r="AB327" s="28"/>
      <c r="AC327" s="25">
        <v>4</v>
      </c>
      <c r="AD327" s="25">
        <v>5.62</v>
      </c>
      <c r="AE327" s="28"/>
      <c r="AF327" s="28"/>
      <c r="AG327" s="28"/>
      <c r="AH327" s="28"/>
    </row>
    <row r="328" spans="1:34" s="25" customFormat="1" ht="20.25" customHeight="1" x14ac:dyDescent="0.45">
      <c r="A328" s="26"/>
      <c r="B328" s="28">
        <v>15</v>
      </c>
      <c r="C328" s="29"/>
      <c r="D328" s="27">
        <v>9.9480000000000004</v>
      </c>
      <c r="E328" s="27">
        <f>D328/(90/C329)</f>
        <v>9.565775733333334</v>
      </c>
      <c r="G328" s="27">
        <v>15</v>
      </c>
      <c r="H328" s="29"/>
      <c r="I328" s="27">
        <v>10.709</v>
      </c>
      <c r="J328" s="27">
        <f>I328/(90/H329)</f>
        <v>10.169028422222222</v>
      </c>
      <c r="L328" s="27">
        <v>15</v>
      </c>
      <c r="M328" s="29"/>
      <c r="N328" s="27">
        <v>7.2729999999999997</v>
      </c>
      <c r="O328" s="27">
        <f>N328/(90/(M329-90))</f>
        <v>3.6848250444444455</v>
      </c>
      <c r="P328" s="29"/>
      <c r="Q328" s="27">
        <v>15</v>
      </c>
      <c r="R328" s="29"/>
      <c r="S328" s="27">
        <v>6.5019999999999998</v>
      </c>
      <c r="T328" s="27">
        <f>S328/(90/(R329-90))</f>
        <v>4.3947017999999991</v>
      </c>
      <c r="Y328" s="25">
        <v>5</v>
      </c>
      <c r="Z328" s="25">
        <v>5.4960000000000004</v>
      </c>
      <c r="AA328" s="25">
        <f>Z328/Z329</f>
        <v>0.54866726564839785</v>
      </c>
      <c r="AB328" s="28"/>
      <c r="AC328" s="25">
        <v>5</v>
      </c>
      <c r="AD328" s="25">
        <v>6.1920000000000002</v>
      </c>
      <c r="AE328" s="25">
        <f>AD329/AD328</f>
        <v>0.49499354005167956</v>
      </c>
      <c r="AF328" s="28"/>
      <c r="AG328" s="28"/>
      <c r="AH328" s="28"/>
    </row>
    <row r="329" spans="1:34" s="25" customFormat="1" ht="20.25" customHeight="1" x14ac:dyDescent="0.45">
      <c r="A329" s="26"/>
      <c r="B329" s="28">
        <v>16</v>
      </c>
      <c r="C329" s="27">
        <v>86.542000000000002</v>
      </c>
      <c r="D329" s="29"/>
      <c r="E329" s="29"/>
      <c r="G329" s="27">
        <v>16</v>
      </c>
      <c r="H329" s="27">
        <v>85.462000000000003</v>
      </c>
      <c r="I329" s="29"/>
      <c r="J329" s="29"/>
      <c r="L329" s="27">
        <v>16</v>
      </c>
      <c r="M329" s="27">
        <v>135.59800000000001</v>
      </c>
      <c r="N329" s="29"/>
      <c r="O329" s="29"/>
      <c r="P329" s="29"/>
      <c r="Q329" s="27">
        <v>16</v>
      </c>
      <c r="R329" s="27">
        <v>150.83099999999999</v>
      </c>
      <c r="S329" s="29"/>
      <c r="T329" s="29"/>
      <c r="Y329" s="25">
        <v>6</v>
      </c>
      <c r="Z329" s="25">
        <v>10.016999999999999</v>
      </c>
      <c r="AA329" s="28"/>
      <c r="AB329" s="28"/>
      <c r="AC329" s="25">
        <v>6</v>
      </c>
      <c r="AD329" s="25">
        <v>3.0649999999999999</v>
      </c>
      <c r="AE329" s="28"/>
      <c r="AF329" s="28"/>
      <c r="AG329" s="28"/>
      <c r="AH329" s="28"/>
    </row>
    <row r="330" spans="1:34" s="25" customFormat="1" ht="20.25" customHeight="1" x14ac:dyDescent="0.45">
      <c r="A330" s="26"/>
      <c r="B330" s="28">
        <v>17</v>
      </c>
      <c r="C330" s="29"/>
      <c r="D330" s="27">
        <v>8.157</v>
      </c>
      <c r="E330" s="27">
        <f>D330/(90/C331)</f>
        <v>7.712806033333333</v>
      </c>
      <c r="G330" s="27">
        <v>17</v>
      </c>
      <c r="H330" s="29"/>
      <c r="I330" s="27">
        <v>11.553000000000001</v>
      </c>
      <c r="J330" s="27">
        <f>I330/(90/H331)</f>
        <v>6.2922772666666678</v>
      </c>
      <c r="L330" s="27">
        <v>17</v>
      </c>
      <c r="M330" s="29"/>
      <c r="N330" s="27">
        <v>6.3230000000000004</v>
      </c>
      <c r="O330" s="27">
        <f>N330/(90/(M331-90))</f>
        <v>3.1996487666666673</v>
      </c>
      <c r="P330" s="29"/>
      <c r="Q330" s="27">
        <v>17</v>
      </c>
      <c r="R330" s="29"/>
      <c r="S330" s="27">
        <v>12.523</v>
      </c>
      <c r="T330" s="27">
        <f>S330/(90/(R331-90))</f>
        <v>7.6010435666666671</v>
      </c>
      <c r="Y330" s="25">
        <v>7</v>
      </c>
      <c r="Z330" s="25">
        <v>7.3360000000000003</v>
      </c>
      <c r="AA330" s="25">
        <f>Z331/Z330</f>
        <v>0.45706106870229007</v>
      </c>
      <c r="AB330" s="28"/>
      <c r="AC330" s="25">
        <v>7</v>
      </c>
      <c r="AD330" s="25">
        <v>7.75</v>
      </c>
      <c r="AE330" s="25">
        <f>AD331/AD330</f>
        <v>0.4096774193548387</v>
      </c>
      <c r="AF330" s="28"/>
      <c r="AG330" s="28"/>
      <c r="AH330" s="28"/>
    </row>
    <row r="331" spans="1:34" s="25" customFormat="1" ht="20.25" customHeight="1" x14ac:dyDescent="0.45">
      <c r="A331" s="26"/>
      <c r="B331" s="28">
        <v>18</v>
      </c>
      <c r="C331" s="27">
        <v>85.099000000000004</v>
      </c>
      <c r="D331" s="29"/>
      <c r="E331" s="29"/>
      <c r="G331" s="27">
        <v>18</v>
      </c>
      <c r="H331" s="27">
        <v>49.018000000000001</v>
      </c>
      <c r="I331" s="29"/>
      <c r="J331" s="29"/>
      <c r="L331" s="27">
        <v>18</v>
      </c>
      <c r="M331" s="27">
        <v>135.54300000000001</v>
      </c>
      <c r="N331" s="29"/>
      <c r="O331" s="29"/>
      <c r="P331" s="29"/>
      <c r="Q331" s="27">
        <v>18</v>
      </c>
      <c r="R331" s="27">
        <v>144.62700000000001</v>
      </c>
      <c r="S331" s="29"/>
      <c r="T331" s="29"/>
      <c r="Y331" s="25">
        <v>8</v>
      </c>
      <c r="Z331" s="25">
        <v>3.3530000000000002</v>
      </c>
      <c r="AA331" s="28"/>
      <c r="AB331" s="28"/>
      <c r="AC331" s="25">
        <v>8</v>
      </c>
      <c r="AD331" s="25">
        <v>3.1749999999999998</v>
      </c>
      <c r="AE331" s="28"/>
      <c r="AF331" s="28"/>
      <c r="AG331" s="28"/>
      <c r="AH331" s="28"/>
    </row>
    <row r="332" spans="1:34" s="25" customFormat="1" ht="20.25" customHeight="1" x14ac:dyDescent="0.45">
      <c r="A332" s="26"/>
      <c r="B332" s="28">
        <v>19</v>
      </c>
      <c r="C332" s="29"/>
      <c r="D332" s="27">
        <v>11.622999999999999</v>
      </c>
      <c r="E332" s="27">
        <f>D332/(90/C333)</f>
        <v>9.3140264777777766</v>
      </c>
      <c r="G332" s="27">
        <v>19</v>
      </c>
      <c r="H332" s="29"/>
      <c r="I332" s="27">
        <v>11.715</v>
      </c>
      <c r="J332" s="27">
        <f>I332/(90/H333)</f>
        <v>11.635988833333332</v>
      </c>
      <c r="L332" s="27">
        <v>19</v>
      </c>
      <c r="M332" s="29"/>
      <c r="N332" s="27">
        <v>6.4050000000000002</v>
      </c>
      <c r="O332" s="27">
        <f>N332/(90/(M333-90))</f>
        <v>2.2995373333333329</v>
      </c>
      <c r="P332" s="29"/>
      <c r="Q332" s="27">
        <v>19</v>
      </c>
      <c r="R332" s="29"/>
      <c r="S332" s="27">
        <v>7.9930000000000003</v>
      </c>
      <c r="T332" s="27">
        <f>S332/(90/(R333-90))</f>
        <v>0.56474985555555512</v>
      </c>
      <c r="Y332" s="25">
        <v>9</v>
      </c>
      <c r="Z332" s="25">
        <v>4.0890000000000004</v>
      </c>
      <c r="AA332" s="25">
        <f>Z333/Z332</f>
        <v>0.79457079970652966</v>
      </c>
      <c r="AB332" s="28"/>
      <c r="AC332" s="25">
        <v>9</v>
      </c>
      <c r="AD332" s="25">
        <v>9.5410000000000004</v>
      </c>
      <c r="AE332" s="25">
        <f>AD333/AD332</f>
        <v>0.34398909967508645</v>
      </c>
      <c r="AF332" s="28"/>
      <c r="AG332" s="28"/>
      <c r="AH332" s="28"/>
    </row>
    <row r="333" spans="1:34" s="25" customFormat="1" ht="20.25" customHeight="1" x14ac:dyDescent="0.45">
      <c r="A333" s="26"/>
      <c r="B333" s="28">
        <v>20</v>
      </c>
      <c r="C333" s="27">
        <v>72.120999999999995</v>
      </c>
      <c r="D333" s="29"/>
      <c r="E333" s="29"/>
      <c r="G333" s="27">
        <v>20</v>
      </c>
      <c r="H333" s="27">
        <v>89.393000000000001</v>
      </c>
      <c r="I333" s="29"/>
      <c r="J333" s="29"/>
      <c r="L333" s="27">
        <v>20</v>
      </c>
      <c r="M333" s="27">
        <v>122.312</v>
      </c>
      <c r="N333" s="29"/>
      <c r="O333" s="29"/>
      <c r="P333" s="29"/>
      <c r="Q333" s="27">
        <v>20</v>
      </c>
      <c r="R333" s="27">
        <v>96.358999999999995</v>
      </c>
      <c r="S333" s="29"/>
      <c r="T333" s="29"/>
      <c r="Y333" s="25">
        <v>10</v>
      </c>
      <c r="Z333" s="25">
        <v>3.2490000000000001</v>
      </c>
      <c r="AA333" s="28"/>
      <c r="AB333" s="28"/>
      <c r="AC333" s="25">
        <v>10</v>
      </c>
      <c r="AD333" s="25">
        <v>3.282</v>
      </c>
      <c r="AE333" s="28"/>
      <c r="AF333" s="28"/>
      <c r="AG333" s="28"/>
      <c r="AH333" s="28"/>
    </row>
    <row r="334" spans="1:34" s="25" customFormat="1" ht="20.25" customHeight="1" x14ac:dyDescent="0.45">
      <c r="A334" s="26"/>
      <c r="B334" s="25" t="s">
        <v>76</v>
      </c>
      <c r="C334" s="27">
        <f>SUM(C314:C333)</f>
        <v>731.15100000000007</v>
      </c>
      <c r="D334" s="27">
        <f>SUM(D314:D333)</f>
        <v>89.472999999999985</v>
      </c>
      <c r="E334" s="27">
        <f>SUM(E314:E333)</f>
        <v>73.656207444444433</v>
      </c>
      <c r="H334" s="27">
        <f>SUM(H314:H333)</f>
        <v>731.10900000000004</v>
      </c>
      <c r="I334" s="27">
        <f>SUM(I314:I333)</f>
        <v>95.01</v>
      </c>
      <c r="J334" s="27">
        <f>SUM(J314:J333)</f>
        <v>77.031490188888895</v>
      </c>
      <c r="M334" s="27">
        <f>SUM(M314:M333)</f>
        <v>1347.3359999999998</v>
      </c>
      <c r="N334" s="27">
        <f>SUM(N314:N333)</f>
        <v>72.711999999999989</v>
      </c>
      <c r="O334" s="27">
        <f>SUM(O314:O333)</f>
        <v>35.996523066666668</v>
      </c>
      <c r="R334" s="27">
        <f>SUM(R314:R333)</f>
        <v>1531.3129999999999</v>
      </c>
      <c r="S334" s="27">
        <f>SUM(S314:S333)</f>
        <v>86.044999999999987</v>
      </c>
      <c r="T334" s="27">
        <f>SUM(T314:T333)</f>
        <v>59.214710966666665</v>
      </c>
      <c r="Y334" s="25">
        <v>11</v>
      </c>
      <c r="Z334" s="25">
        <v>5.6079999999999997</v>
      </c>
      <c r="AA334" s="25">
        <f>Z335/Z334</f>
        <v>0.81419400855920121</v>
      </c>
      <c r="AB334" s="28"/>
      <c r="AC334" s="25">
        <v>11</v>
      </c>
      <c r="AD334" s="25">
        <v>9.7050000000000001</v>
      </c>
      <c r="AE334" s="25">
        <f>AD335/AD334</f>
        <v>0.45770221535291089</v>
      </c>
      <c r="AF334" s="28"/>
      <c r="AG334" s="28"/>
      <c r="AH334" s="28"/>
    </row>
    <row r="335" spans="1:34" s="25" customFormat="1" ht="20.25" customHeight="1" x14ac:dyDescent="0.45">
      <c r="A335" s="26"/>
      <c r="B335" s="25" t="s">
        <v>77</v>
      </c>
      <c r="C335" s="27">
        <f>C334/10</f>
        <v>73.115100000000012</v>
      </c>
      <c r="D335" s="27">
        <f>D334/10</f>
        <v>8.9472999999999985</v>
      </c>
      <c r="E335" s="27">
        <f>E334/10</f>
        <v>7.3656207444444437</v>
      </c>
      <c r="H335" s="27">
        <f>H334/10</f>
        <v>73.110900000000001</v>
      </c>
      <c r="I335" s="27">
        <f>I334/10</f>
        <v>9.5010000000000012</v>
      </c>
      <c r="J335" s="27">
        <f>J334/10</f>
        <v>7.7031490188888894</v>
      </c>
      <c r="M335" s="27">
        <f>M334/10</f>
        <v>134.73359999999997</v>
      </c>
      <c r="N335" s="27">
        <f>N334/10</f>
        <v>7.2711999999999986</v>
      </c>
      <c r="O335" s="27">
        <f>O334/10</f>
        <v>3.599652306666667</v>
      </c>
      <c r="R335" s="27">
        <f>R334/10</f>
        <v>153.13129999999998</v>
      </c>
      <c r="S335" s="27">
        <f>S334/10</f>
        <v>8.604499999999998</v>
      </c>
      <c r="T335" s="27">
        <f>T334/10</f>
        <v>5.9214710966666662</v>
      </c>
      <c r="Y335" s="25">
        <v>12</v>
      </c>
      <c r="Z335" s="25">
        <v>4.5659999999999998</v>
      </c>
      <c r="AA335" s="28"/>
      <c r="AB335" s="28"/>
      <c r="AC335" s="25">
        <v>12</v>
      </c>
      <c r="AD335" s="25">
        <v>4.4420000000000002</v>
      </c>
      <c r="AE335" s="28"/>
      <c r="AF335" s="28"/>
      <c r="AG335" s="28"/>
      <c r="AH335" s="28"/>
    </row>
    <row r="336" spans="1:34" s="25" customFormat="1" ht="20.25" customHeight="1" x14ac:dyDescent="0.45">
      <c r="A336" s="26"/>
      <c r="B336" s="28"/>
      <c r="Y336" s="25">
        <v>13</v>
      </c>
      <c r="Z336" s="25">
        <v>4.9509999999999996</v>
      </c>
      <c r="AA336" s="25">
        <f>Z336/Z337</f>
        <v>0.81097461097461088</v>
      </c>
      <c r="AB336" s="28"/>
      <c r="AC336" s="25">
        <v>13</v>
      </c>
      <c r="AD336" s="25">
        <v>6.3940000000000001</v>
      </c>
      <c r="AE336" s="25">
        <f>AD336/AD337</f>
        <v>0.96790796245837118</v>
      </c>
      <c r="AF336" s="28"/>
      <c r="AG336" s="28"/>
      <c r="AH336" s="28"/>
    </row>
    <row r="337" spans="1:34" s="25" customFormat="1" ht="20.25" customHeight="1" x14ac:dyDescent="0.45">
      <c r="A337" s="26"/>
      <c r="B337" s="28"/>
      <c r="Y337" s="25">
        <v>14</v>
      </c>
      <c r="Z337" s="25">
        <v>6.1050000000000004</v>
      </c>
      <c r="AA337" s="28"/>
      <c r="AB337" s="28"/>
      <c r="AC337" s="25">
        <v>14</v>
      </c>
      <c r="AD337" s="25">
        <v>6.6059999999999999</v>
      </c>
      <c r="AE337" s="28"/>
      <c r="AF337" s="28"/>
      <c r="AG337" s="28"/>
      <c r="AH337" s="28"/>
    </row>
    <row r="338" spans="1:34" s="25" customFormat="1" ht="20.25" customHeight="1" x14ac:dyDescent="0.45">
      <c r="A338" s="26"/>
      <c r="B338" s="28"/>
      <c r="Y338" s="25">
        <v>15</v>
      </c>
      <c r="Z338" s="25">
        <v>8.3670000000000009</v>
      </c>
      <c r="AA338" s="25">
        <f>Z339/Z338</f>
        <v>0.54463965579060591</v>
      </c>
      <c r="AB338" s="28"/>
      <c r="AC338" s="25">
        <v>15</v>
      </c>
      <c r="AD338" s="25">
        <v>10.422000000000001</v>
      </c>
      <c r="AE338" s="25">
        <f>AD339/AD338</f>
        <v>0.25350220687008251</v>
      </c>
      <c r="AF338" s="28"/>
      <c r="AG338" s="28"/>
      <c r="AH338" s="28"/>
    </row>
    <row r="339" spans="1:34" s="25" customFormat="1" ht="20.25" customHeight="1" x14ac:dyDescent="0.45">
      <c r="A339" s="26"/>
      <c r="B339" s="25" t="s">
        <v>71</v>
      </c>
      <c r="C339" s="27" t="s">
        <v>69</v>
      </c>
      <c r="H339" s="27" t="s">
        <v>78</v>
      </c>
      <c r="L339" s="25" t="s">
        <v>71</v>
      </c>
      <c r="M339" s="27" t="s">
        <v>69</v>
      </c>
      <c r="R339" s="27" t="s">
        <v>78</v>
      </c>
      <c r="Y339" s="25">
        <v>16</v>
      </c>
      <c r="Z339" s="25">
        <v>4.5570000000000004</v>
      </c>
      <c r="AA339" s="28"/>
      <c r="AB339" s="28"/>
      <c r="AC339" s="25">
        <v>16</v>
      </c>
      <c r="AD339" s="25">
        <v>2.6419999999999999</v>
      </c>
      <c r="AE339" s="28"/>
      <c r="AF339" s="28"/>
      <c r="AG339" s="28"/>
      <c r="AH339" s="28"/>
    </row>
    <row r="340" spans="1:34" s="25" customFormat="1" ht="20.25" customHeight="1" x14ac:dyDescent="0.45">
      <c r="A340" s="26"/>
      <c r="B340" s="25" t="s">
        <v>10</v>
      </c>
      <c r="E340" s="27" t="s">
        <v>79</v>
      </c>
      <c r="G340" s="29"/>
      <c r="J340" s="27" t="s">
        <v>79</v>
      </c>
      <c r="L340" s="25" t="s">
        <v>8</v>
      </c>
      <c r="O340" s="27" t="s">
        <v>79</v>
      </c>
      <c r="Q340" s="29"/>
      <c r="T340" s="27" t="s">
        <v>79</v>
      </c>
      <c r="Y340" s="25">
        <v>17</v>
      </c>
      <c r="Z340" s="25">
        <v>8.8089999999999993</v>
      </c>
      <c r="AA340" s="25">
        <f>Z341/Z340</f>
        <v>0.41684640708366449</v>
      </c>
      <c r="AB340" s="28"/>
      <c r="AC340" s="25">
        <v>17</v>
      </c>
      <c r="AD340" s="25">
        <v>4.9989999999999997</v>
      </c>
      <c r="AE340" s="25">
        <f>AD340/AD341</f>
        <v>0.90643699002719857</v>
      </c>
      <c r="AF340" s="28"/>
      <c r="AG340" s="28"/>
      <c r="AH340" s="28"/>
    </row>
    <row r="341" spans="1:34" s="25" customFormat="1" ht="20.25" customHeight="1" x14ac:dyDescent="0.45">
      <c r="A341" s="26"/>
      <c r="B341" s="28">
        <v>1</v>
      </c>
      <c r="C341" s="29"/>
      <c r="D341" s="27">
        <v>9.0109999999999992</v>
      </c>
      <c r="E341" s="27">
        <f>D342/D341</f>
        <v>0.56009321939851298</v>
      </c>
      <c r="H341" s="29"/>
      <c r="L341" s="27">
        <v>1</v>
      </c>
      <c r="M341" s="29"/>
      <c r="N341" s="27">
        <v>8.1359999999999992</v>
      </c>
      <c r="O341" s="27">
        <f>N342/N341</f>
        <v>0.3898721730580138</v>
      </c>
      <c r="P341" s="29"/>
      <c r="Y341" s="25">
        <v>18</v>
      </c>
      <c r="Z341" s="25">
        <v>3.6720000000000002</v>
      </c>
      <c r="AA341" s="28"/>
      <c r="AB341" s="28"/>
      <c r="AC341" s="25">
        <v>18</v>
      </c>
      <c r="AD341" s="25">
        <v>5.5149999999999997</v>
      </c>
      <c r="AE341" s="28"/>
      <c r="AF341" s="28"/>
      <c r="AG341" s="28"/>
      <c r="AH341" s="28"/>
    </row>
    <row r="342" spans="1:34" s="25" customFormat="1" ht="20.25" customHeight="1" x14ac:dyDescent="0.45">
      <c r="A342" s="26"/>
      <c r="B342" s="28">
        <v>2</v>
      </c>
      <c r="C342" s="29"/>
      <c r="D342" s="27">
        <v>5.0469999999999997</v>
      </c>
      <c r="E342" s="29"/>
      <c r="H342" s="29"/>
      <c r="L342" s="27">
        <v>2</v>
      </c>
      <c r="M342" s="29"/>
      <c r="N342" s="27">
        <v>3.1720000000000002</v>
      </c>
      <c r="O342" s="29"/>
      <c r="P342" s="29"/>
      <c r="Y342" s="25">
        <v>19</v>
      </c>
      <c r="Z342" s="25">
        <v>7.484</v>
      </c>
      <c r="AA342" s="25">
        <f>Z343/Z342</f>
        <v>0.5</v>
      </c>
      <c r="AB342" s="28"/>
      <c r="AC342" s="25">
        <v>19</v>
      </c>
      <c r="AD342" s="25">
        <v>9.4870000000000001</v>
      </c>
      <c r="AE342" s="25">
        <f>AD343/AD342</f>
        <v>0.3745124907768525</v>
      </c>
      <c r="AF342" s="28"/>
      <c r="AG342" s="28"/>
      <c r="AH342" s="28"/>
    </row>
    <row r="343" spans="1:34" s="25" customFormat="1" ht="20.25" customHeight="1" x14ac:dyDescent="0.45">
      <c r="A343" s="26"/>
      <c r="B343" s="28">
        <v>3</v>
      </c>
      <c r="C343" s="27">
        <v>32.911000000000001</v>
      </c>
      <c r="D343" s="29"/>
      <c r="E343" s="29"/>
      <c r="H343" s="29"/>
      <c r="L343" s="27">
        <v>3</v>
      </c>
      <c r="M343" s="27">
        <v>71.846999999999994</v>
      </c>
      <c r="N343" s="29"/>
      <c r="O343" s="29"/>
      <c r="P343" s="29"/>
      <c r="Y343" s="25">
        <v>20</v>
      </c>
      <c r="Z343" s="25">
        <v>3.742</v>
      </c>
      <c r="AA343" s="28"/>
      <c r="AB343" s="28"/>
      <c r="AC343" s="25">
        <v>20</v>
      </c>
      <c r="AD343" s="25">
        <v>3.5529999999999999</v>
      </c>
      <c r="AE343" s="28"/>
      <c r="AF343" s="28"/>
      <c r="AG343" s="28"/>
      <c r="AH343" s="28"/>
    </row>
    <row r="344" spans="1:34" s="25" customFormat="1" ht="20.25" customHeight="1" x14ac:dyDescent="0.45">
      <c r="A344" s="26"/>
      <c r="B344" s="28">
        <v>4</v>
      </c>
      <c r="H344" s="29"/>
      <c r="I344" s="27">
        <v>5.9649999999999999</v>
      </c>
      <c r="J344" s="27">
        <f>I345/I344</f>
        <v>0.55557418273260695</v>
      </c>
      <c r="L344" s="27">
        <v>4</v>
      </c>
      <c r="M344" s="29"/>
      <c r="N344" s="27">
        <v>7.3170000000000002</v>
      </c>
      <c r="O344" s="27">
        <f>N345/N344</f>
        <v>0.51523848571819053</v>
      </c>
      <c r="P344" s="29"/>
      <c r="AA344" s="25">
        <f>SUM(AA324:AA343)</f>
        <v>5.492403569091862</v>
      </c>
      <c r="AE344" s="25">
        <f>SUM(AE324:AE343)</f>
        <v>5.6950005784399131</v>
      </c>
    </row>
    <row r="345" spans="1:34" s="25" customFormat="1" ht="20.25" customHeight="1" x14ac:dyDescent="0.45">
      <c r="A345" s="26"/>
      <c r="B345" s="28">
        <v>5</v>
      </c>
      <c r="H345" s="29"/>
      <c r="I345" s="27">
        <v>3.3140000000000001</v>
      </c>
      <c r="J345" s="29"/>
      <c r="L345" s="27">
        <v>5</v>
      </c>
      <c r="M345" s="29"/>
      <c r="N345" s="27">
        <v>3.77</v>
      </c>
      <c r="O345" s="29"/>
      <c r="P345" s="29"/>
    </row>
    <row r="346" spans="1:34" s="25" customFormat="1" ht="20.25" customHeight="1" x14ac:dyDescent="0.45">
      <c r="A346" s="26"/>
      <c r="B346" s="28">
        <v>6</v>
      </c>
      <c r="H346" s="27">
        <v>108.446</v>
      </c>
      <c r="I346" s="29"/>
      <c r="J346" s="29"/>
      <c r="L346" s="27">
        <v>6</v>
      </c>
      <c r="M346" s="27">
        <v>31.122</v>
      </c>
      <c r="N346" s="29"/>
      <c r="O346" s="29"/>
      <c r="P346" s="29"/>
      <c r="Y346" s="25" t="s">
        <v>80</v>
      </c>
    </row>
    <row r="347" spans="1:34" s="25" customFormat="1" ht="20.25" customHeight="1" x14ac:dyDescent="0.45">
      <c r="A347" s="26"/>
      <c r="B347" s="28">
        <v>7</v>
      </c>
      <c r="C347" s="29"/>
      <c r="D347" s="27">
        <v>9.5280000000000005</v>
      </c>
      <c r="E347" s="27">
        <f>D348/D347</f>
        <v>0.51983627204030225</v>
      </c>
      <c r="H347" s="29"/>
      <c r="L347" s="27">
        <v>7</v>
      </c>
      <c r="O347" s="29"/>
      <c r="P347" s="29"/>
      <c r="R347" s="29"/>
      <c r="S347" s="27">
        <v>12.879</v>
      </c>
      <c r="T347" s="27">
        <f>S348/S347</f>
        <v>0.35398711080052803</v>
      </c>
      <c r="Y347" s="25">
        <v>1</v>
      </c>
      <c r="Z347" s="25">
        <v>7.06</v>
      </c>
      <c r="AA347" s="25">
        <f>Z348/Z347</f>
        <v>0.50580736543909355</v>
      </c>
      <c r="AB347" s="28"/>
      <c r="AC347" s="25">
        <v>1</v>
      </c>
      <c r="AD347" s="25">
        <v>8.6329999999999991</v>
      </c>
      <c r="AE347" s="25">
        <f>AD348/AD347</f>
        <v>0.50550214293988194</v>
      </c>
      <c r="AF347" s="28"/>
      <c r="AG347" s="28"/>
      <c r="AH347" s="28"/>
    </row>
    <row r="348" spans="1:34" s="25" customFormat="1" ht="20.25" customHeight="1" x14ac:dyDescent="0.45">
      <c r="A348" s="26"/>
      <c r="B348" s="28">
        <v>8</v>
      </c>
      <c r="C348" s="29"/>
      <c r="D348" s="27">
        <v>4.9530000000000003</v>
      </c>
      <c r="E348" s="29"/>
      <c r="H348" s="29"/>
      <c r="L348" s="27">
        <v>8</v>
      </c>
      <c r="O348" s="29"/>
      <c r="P348" s="29"/>
      <c r="R348" s="29"/>
      <c r="S348" s="27">
        <v>4.5590000000000002</v>
      </c>
      <c r="Y348" s="25">
        <v>2</v>
      </c>
      <c r="Z348" s="25">
        <v>3.5710000000000002</v>
      </c>
      <c r="AA348" s="28"/>
      <c r="AB348" s="28"/>
      <c r="AC348" s="25">
        <v>2</v>
      </c>
      <c r="AD348" s="25">
        <v>4.3639999999999999</v>
      </c>
      <c r="AE348" s="28"/>
      <c r="AF348" s="28"/>
      <c r="AG348" s="28"/>
      <c r="AH348" s="28"/>
    </row>
    <row r="349" spans="1:34" s="25" customFormat="1" ht="20.25" customHeight="1" x14ac:dyDescent="0.45">
      <c r="A349" s="26"/>
      <c r="B349" s="28">
        <v>9</v>
      </c>
      <c r="C349" s="27">
        <v>55.408999999999999</v>
      </c>
      <c r="D349" s="29"/>
      <c r="E349" s="29"/>
      <c r="H349" s="29"/>
      <c r="L349" s="27">
        <v>9</v>
      </c>
      <c r="O349" s="29"/>
      <c r="P349" s="29"/>
      <c r="R349" s="27">
        <v>163.88399999999999</v>
      </c>
      <c r="S349" s="29"/>
      <c r="Y349" s="25">
        <v>3</v>
      </c>
      <c r="Z349" s="25">
        <v>6.9770000000000003</v>
      </c>
      <c r="AA349" s="25">
        <f>Z350/Z349</f>
        <v>0.64354307008743017</v>
      </c>
      <c r="AB349" s="28"/>
      <c r="AC349" s="25">
        <v>3</v>
      </c>
      <c r="AD349" s="25">
        <v>7.2619999999999996</v>
      </c>
      <c r="AE349" s="25">
        <f>AD350/AD349</f>
        <v>0.38873588543101073</v>
      </c>
      <c r="AF349" s="28"/>
      <c r="AG349" s="28"/>
      <c r="AH349" s="28"/>
    </row>
    <row r="350" spans="1:34" s="25" customFormat="1" ht="20.25" customHeight="1" x14ac:dyDescent="0.45">
      <c r="A350" s="26"/>
      <c r="B350" s="28">
        <v>10</v>
      </c>
      <c r="C350" s="29"/>
      <c r="D350" s="27">
        <v>12.912000000000001</v>
      </c>
      <c r="E350" s="27">
        <f>D351/D350</f>
        <v>0.40140954151177194</v>
      </c>
      <c r="H350" s="29"/>
      <c r="L350" s="27">
        <v>10</v>
      </c>
      <c r="O350" s="29"/>
      <c r="P350" s="29"/>
      <c r="R350" s="29"/>
      <c r="S350" s="27">
        <v>12.504</v>
      </c>
      <c r="T350" s="27">
        <f>S351/S350</f>
        <v>0.28838771593090212</v>
      </c>
      <c r="Y350" s="25">
        <v>4</v>
      </c>
      <c r="Z350" s="25">
        <v>4.49</v>
      </c>
      <c r="AA350" s="28"/>
      <c r="AB350" s="28"/>
      <c r="AC350" s="25">
        <v>4</v>
      </c>
      <c r="AD350" s="25">
        <v>2.823</v>
      </c>
      <c r="AE350" s="28"/>
      <c r="AF350" s="28"/>
      <c r="AG350" s="28"/>
      <c r="AH350" s="28"/>
    </row>
    <row r="351" spans="1:34" s="25" customFormat="1" ht="20.25" customHeight="1" x14ac:dyDescent="0.45">
      <c r="A351" s="26"/>
      <c r="B351" s="28">
        <v>11</v>
      </c>
      <c r="C351" s="29"/>
      <c r="D351" s="27">
        <v>5.1829999999999998</v>
      </c>
      <c r="E351" s="29"/>
      <c r="H351" s="29"/>
      <c r="L351" s="27">
        <v>11</v>
      </c>
      <c r="O351" s="29"/>
      <c r="P351" s="29"/>
      <c r="R351" s="29"/>
      <c r="S351" s="27">
        <v>3.6059999999999999</v>
      </c>
      <c r="Y351" s="25">
        <v>5</v>
      </c>
      <c r="Z351" s="25">
        <v>11.422000000000001</v>
      </c>
      <c r="AA351" s="25">
        <f>Z352/Z351</f>
        <v>0.35703029241814044</v>
      </c>
      <c r="AB351" s="28"/>
      <c r="AC351" s="25">
        <v>5</v>
      </c>
      <c r="AD351" s="25">
        <v>16.626000000000001</v>
      </c>
      <c r="AE351" s="25">
        <f>AD352/AD351</f>
        <v>0.23721881390593044</v>
      </c>
      <c r="AF351" s="28"/>
      <c r="AG351" s="28"/>
      <c r="AH351" s="28"/>
    </row>
    <row r="352" spans="1:34" s="25" customFormat="1" ht="20.25" customHeight="1" x14ac:dyDescent="0.45">
      <c r="A352" s="26"/>
      <c r="B352" s="28">
        <v>12</v>
      </c>
      <c r="C352" s="27">
        <v>79.084999999999994</v>
      </c>
      <c r="D352" s="29"/>
      <c r="E352" s="29"/>
      <c r="H352" s="29"/>
      <c r="L352" s="27">
        <v>12</v>
      </c>
      <c r="O352" s="29"/>
      <c r="P352" s="29"/>
      <c r="R352" s="27">
        <v>160.5</v>
      </c>
      <c r="S352" s="29"/>
      <c r="Y352" s="25">
        <v>6</v>
      </c>
      <c r="Z352" s="25">
        <v>4.0780000000000003</v>
      </c>
      <c r="AA352" s="28"/>
      <c r="AB352" s="28"/>
      <c r="AC352" s="25">
        <v>6</v>
      </c>
      <c r="AD352" s="25">
        <v>3.944</v>
      </c>
      <c r="AE352" s="28"/>
      <c r="AF352" s="28"/>
      <c r="AG352" s="28"/>
      <c r="AH352" s="28"/>
    </row>
    <row r="353" spans="1:34" s="25" customFormat="1" ht="20.25" customHeight="1" x14ac:dyDescent="0.45">
      <c r="A353" s="26"/>
      <c r="B353" s="28">
        <v>13</v>
      </c>
      <c r="C353" s="29"/>
      <c r="D353" s="27">
        <v>9.6180000000000003</v>
      </c>
      <c r="E353" s="27">
        <f>D354/D353</f>
        <v>0.69785818257433974</v>
      </c>
      <c r="H353" s="29"/>
      <c r="L353" s="27">
        <v>13</v>
      </c>
      <c r="O353" s="29"/>
      <c r="P353" s="29"/>
      <c r="R353" s="29"/>
      <c r="S353" s="27">
        <v>11.904</v>
      </c>
      <c r="T353" s="27">
        <f>S354/S353</f>
        <v>0.35324260752688175</v>
      </c>
      <c r="Y353" s="25">
        <v>7</v>
      </c>
      <c r="Z353" s="25">
        <v>7.2649999999999997</v>
      </c>
      <c r="AA353" s="25">
        <f>Z354/Z353</f>
        <v>0.5785271851342052</v>
      </c>
      <c r="AB353" s="28"/>
      <c r="AC353" s="25">
        <v>7</v>
      </c>
      <c r="AD353" s="25">
        <v>9.7910000000000004</v>
      </c>
      <c r="AE353" s="25">
        <f>AD354/AD353</f>
        <v>0.36227147380247166</v>
      </c>
      <c r="AF353" s="28"/>
      <c r="AG353" s="28"/>
      <c r="AH353" s="28"/>
    </row>
    <row r="354" spans="1:34" s="25" customFormat="1" ht="20.25" customHeight="1" x14ac:dyDescent="0.45">
      <c r="A354" s="26"/>
      <c r="B354" s="28">
        <v>14</v>
      </c>
      <c r="C354" s="29"/>
      <c r="D354" s="27">
        <v>6.7119999999999997</v>
      </c>
      <c r="E354" s="29"/>
      <c r="H354" s="29"/>
      <c r="L354" s="27">
        <v>14</v>
      </c>
      <c r="O354" s="29"/>
      <c r="P354" s="29"/>
      <c r="R354" s="29"/>
      <c r="S354" s="27">
        <v>4.2050000000000001</v>
      </c>
      <c r="Y354" s="25">
        <v>8</v>
      </c>
      <c r="Z354" s="25">
        <v>4.2030000000000003</v>
      </c>
      <c r="AA354" s="28"/>
      <c r="AB354" s="28"/>
      <c r="AC354" s="25">
        <v>8</v>
      </c>
      <c r="AD354" s="25">
        <v>3.5470000000000002</v>
      </c>
      <c r="AE354" s="28"/>
      <c r="AF354" s="28"/>
      <c r="AG354" s="28"/>
      <c r="AH354" s="28"/>
    </row>
    <row r="355" spans="1:34" s="25" customFormat="1" ht="20.25" customHeight="1" x14ac:dyDescent="0.45">
      <c r="A355" s="26"/>
      <c r="B355" s="28">
        <v>15</v>
      </c>
      <c r="C355" s="27">
        <v>89.137</v>
      </c>
      <c r="D355" s="29"/>
      <c r="E355" s="29"/>
      <c r="H355" s="29"/>
      <c r="L355" s="27">
        <v>15</v>
      </c>
      <c r="O355" s="29"/>
      <c r="P355" s="29"/>
      <c r="R355" s="27">
        <v>161.20099999999999</v>
      </c>
      <c r="S355" s="29"/>
      <c r="Y355" s="25">
        <v>9</v>
      </c>
      <c r="Z355" s="25">
        <v>7.9450000000000003</v>
      </c>
      <c r="AA355" s="25">
        <f>Z356/Z355</f>
        <v>0.48030207677784764</v>
      </c>
      <c r="AB355" s="28"/>
      <c r="AC355" s="25">
        <v>9</v>
      </c>
      <c r="AD355" s="25">
        <v>4.9859999999999998</v>
      </c>
      <c r="AE355" s="25">
        <f>AD355/AD356</f>
        <v>0.69578565447948637</v>
      </c>
      <c r="AF355" s="28"/>
      <c r="AG355" s="28"/>
      <c r="AH355" s="28"/>
    </row>
    <row r="356" spans="1:34" s="25" customFormat="1" ht="20.25" customHeight="1" x14ac:dyDescent="0.45">
      <c r="A356" s="26"/>
      <c r="B356" s="28">
        <v>16</v>
      </c>
      <c r="H356" s="29"/>
      <c r="I356" s="27">
        <v>8.7010000000000005</v>
      </c>
      <c r="J356" s="27">
        <f>I357/I356</f>
        <v>0.523962762900816</v>
      </c>
      <c r="L356" s="27">
        <v>16</v>
      </c>
      <c r="M356" s="29"/>
      <c r="N356" s="27">
        <v>10.037000000000001</v>
      </c>
      <c r="O356" s="27">
        <f>N357/N356</f>
        <v>0.40221181627976482</v>
      </c>
      <c r="P356" s="29"/>
      <c r="Y356" s="25">
        <v>10</v>
      </c>
      <c r="Z356" s="25">
        <v>3.8159999999999998</v>
      </c>
      <c r="AA356" s="28"/>
      <c r="AB356" s="28"/>
      <c r="AC356" s="25">
        <v>10</v>
      </c>
      <c r="AD356" s="25">
        <v>7.1660000000000004</v>
      </c>
      <c r="AE356" s="28"/>
      <c r="AF356" s="28"/>
      <c r="AG356" s="28"/>
      <c r="AH356" s="28"/>
    </row>
    <row r="357" spans="1:34" s="25" customFormat="1" ht="20.25" customHeight="1" x14ac:dyDescent="0.45">
      <c r="A357" s="26"/>
      <c r="B357" s="28">
        <v>17</v>
      </c>
      <c r="H357" s="29"/>
      <c r="I357" s="27">
        <v>4.5590000000000002</v>
      </c>
      <c r="J357" s="29"/>
      <c r="L357" s="27">
        <v>17</v>
      </c>
      <c r="M357" s="29"/>
      <c r="N357" s="27">
        <v>4.0369999999999999</v>
      </c>
      <c r="O357" s="29"/>
      <c r="P357" s="29"/>
      <c r="Y357" s="25">
        <v>11</v>
      </c>
      <c r="Z357" s="25">
        <v>7.2910000000000004</v>
      </c>
      <c r="AA357" s="25">
        <f>Z358/Z357</f>
        <v>0.45905911397613491</v>
      </c>
      <c r="AB357" s="28"/>
      <c r="AC357" s="25">
        <v>11</v>
      </c>
      <c r="AD357" s="25">
        <v>9.5950000000000006</v>
      </c>
      <c r="AE357" s="25">
        <f>AD358/AD357</f>
        <v>0.41615424700364767</v>
      </c>
      <c r="AF357" s="28"/>
      <c r="AG357" s="28"/>
      <c r="AH357" s="28"/>
    </row>
    <row r="358" spans="1:34" s="25" customFormat="1" ht="20.25" customHeight="1" x14ac:dyDescent="0.45">
      <c r="A358" s="26"/>
      <c r="B358" s="28">
        <v>18</v>
      </c>
      <c r="H358" s="27">
        <v>106.324</v>
      </c>
      <c r="I358" s="29"/>
      <c r="J358" s="29"/>
      <c r="L358" s="27">
        <v>18</v>
      </c>
      <c r="M358" s="27">
        <v>65.347999999999999</v>
      </c>
      <c r="N358" s="29"/>
      <c r="O358" s="29"/>
      <c r="P358" s="29"/>
      <c r="Y358" s="25">
        <v>12</v>
      </c>
      <c r="Z358" s="25">
        <v>3.347</v>
      </c>
      <c r="AA358" s="28"/>
      <c r="AB358" s="28"/>
      <c r="AC358" s="25">
        <v>12</v>
      </c>
      <c r="AD358" s="25">
        <v>3.9929999999999999</v>
      </c>
      <c r="AE358" s="28"/>
      <c r="AF358" s="28"/>
      <c r="AG358" s="28"/>
      <c r="AH358" s="28"/>
    </row>
    <row r="359" spans="1:34" s="25" customFormat="1" ht="20.25" customHeight="1" x14ac:dyDescent="0.45">
      <c r="A359" s="26"/>
      <c r="B359" s="28">
        <v>19</v>
      </c>
      <c r="C359" s="29"/>
      <c r="D359" s="27">
        <v>9.9830000000000005</v>
      </c>
      <c r="E359" s="27">
        <f>D360/D359</f>
        <v>0.62997095061604724</v>
      </c>
      <c r="H359" s="29"/>
      <c r="L359" s="27">
        <v>19</v>
      </c>
      <c r="M359" s="29"/>
      <c r="N359" s="27">
        <v>8.5500000000000007</v>
      </c>
      <c r="O359" s="27">
        <f>N360/N359</f>
        <v>0.60877192982456141</v>
      </c>
      <c r="P359" s="29"/>
      <c r="Y359" s="25">
        <v>13</v>
      </c>
      <c r="Z359" s="25">
        <v>7.2770000000000001</v>
      </c>
      <c r="AA359" s="25">
        <f>Z360/Z359</f>
        <v>0.37075718015665793</v>
      </c>
      <c r="AB359" s="28"/>
      <c r="AC359" s="25">
        <v>13</v>
      </c>
      <c r="AD359" s="25">
        <v>11.997999999999999</v>
      </c>
      <c r="AE359" s="25">
        <f>AD360/AD359</f>
        <v>0.24462410401733625</v>
      </c>
      <c r="AF359" s="28"/>
      <c r="AG359" s="28"/>
      <c r="AH359" s="28"/>
    </row>
    <row r="360" spans="1:34" s="25" customFormat="1" ht="20.25" customHeight="1" x14ac:dyDescent="0.45">
      <c r="A360" s="26"/>
      <c r="B360" s="28">
        <v>20</v>
      </c>
      <c r="C360" s="29"/>
      <c r="D360" s="27">
        <v>6.2889999999999997</v>
      </c>
      <c r="E360" s="29"/>
      <c r="H360" s="29"/>
      <c r="L360" s="27">
        <v>20</v>
      </c>
      <c r="M360" s="29"/>
      <c r="N360" s="27">
        <v>5.2050000000000001</v>
      </c>
      <c r="O360" s="29"/>
      <c r="P360" s="29"/>
      <c r="Y360" s="25">
        <v>14</v>
      </c>
      <c r="Z360" s="25">
        <v>2.698</v>
      </c>
      <c r="AA360" s="28"/>
      <c r="AB360" s="28"/>
      <c r="AC360" s="25">
        <v>14</v>
      </c>
      <c r="AD360" s="25">
        <v>2.9350000000000001</v>
      </c>
      <c r="AE360" s="28"/>
      <c r="AF360" s="28"/>
      <c r="AG360" s="28"/>
      <c r="AH360" s="28"/>
    </row>
    <row r="361" spans="1:34" s="25" customFormat="1" ht="20.25" customHeight="1" x14ac:dyDescent="0.45">
      <c r="A361" s="26"/>
      <c r="B361" s="28">
        <v>21</v>
      </c>
      <c r="C361" s="27">
        <v>86.506</v>
      </c>
      <c r="D361" s="29"/>
      <c r="E361" s="29"/>
      <c r="H361" s="29"/>
      <c r="L361" s="27">
        <v>21</v>
      </c>
      <c r="M361" s="27">
        <v>73.599000000000004</v>
      </c>
      <c r="N361" s="29"/>
      <c r="O361" s="29"/>
      <c r="P361" s="29"/>
      <c r="Y361" s="25">
        <v>15</v>
      </c>
      <c r="Z361" s="25">
        <v>4.9820000000000002</v>
      </c>
      <c r="AA361" s="25">
        <f>Z362/Z361</f>
        <v>0.70955439582496993</v>
      </c>
      <c r="AB361" s="28"/>
      <c r="AC361" s="25">
        <v>15</v>
      </c>
      <c r="AD361" s="25">
        <v>8.6379999999999999</v>
      </c>
      <c r="AE361" s="25">
        <f>AD362/AD361</f>
        <v>0.5817318823801807</v>
      </c>
      <c r="AF361" s="28"/>
      <c r="AG361" s="28"/>
      <c r="AH361" s="28"/>
    </row>
    <row r="362" spans="1:34" s="25" customFormat="1" ht="20.25" customHeight="1" x14ac:dyDescent="0.45">
      <c r="A362" s="26"/>
      <c r="B362" s="28">
        <v>22</v>
      </c>
      <c r="H362" s="29"/>
      <c r="I362" s="27">
        <v>8.1980000000000004</v>
      </c>
      <c r="J362" s="27">
        <f>I363/I362</f>
        <v>0.69907294462063918</v>
      </c>
      <c r="L362" s="27">
        <v>22</v>
      </c>
      <c r="O362" s="29"/>
      <c r="P362" s="29"/>
      <c r="R362" s="29"/>
      <c r="S362" s="27">
        <v>6.8380000000000001</v>
      </c>
      <c r="T362" s="27">
        <f>S363/S362</f>
        <v>0.42790289558350397</v>
      </c>
      <c r="Y362" s="25">
        <v>16</v>
      </c>
      <c r="Z362" s="25">
        <v>3.5350000000000001</v>
      </c>
      <c r="AA362" s="28"/>
      <c r="AB362" s="28"/>
      <c r="AC362" s="25">
        <v>16</v>
      </c>
      <c r="AD362" s="25">
        <v>5.0250000000000004</v>
      </c>
      <c r="AE362" s="28"/>
      <c r="AF362" s="28"/>
      <c r="AG362" s="28"/>
      <c r="AH362" s="28"/>
    </row>
    <row r="363" spans="1:34" s="25" customFormat="1" ht="20.25" customHeight="1" x14ac:dyDescent="0.45">
      <c r="A363" s="26"/>
      <c r="B363" s="28">
        <v>23</v>
      </c>
      <c r="H363" s="29"/>
      <c r="I363" s="27">
        <v>5.7309999999999999</v>
      </c>
      <c r="J363" s="29"/>
      <c r="L363" s="27">
        <v>23</v>
      </c>
      <c r="O363" s="29"/>
      <c r="P363" s="29"/>
      <c r="R363" s="29"/>
      <c r="S363" s="27">
        <v>2.9260000000000002</v>
      </c>
      <c r="Y363" s="25">
        <v>17</v>
      </c>
      <c r="Z363" s="25">
        <v>8.74</v>
      </c>
      <c r="AA363" s="25">
        <f>Z364/Z363</f>
        <v>0.30869565217391304</v>
      </c>
      <c r="AB363" s="28"/>
      <c r="AC363" s="25">
        <v>17</v>
      </c>
      <c r="AD363" s="25">
        <v>9.4870000000000001</v>
      </c>
      <c r="AE363" s="25">
        <f>AD364/AD363</f>
        <v>0.52693159059765993</v>
      </c>
      <c r="AF363" s="28"/>
      <c r="AG363" s="28"/>
      <c r="AH363" s="28"/>
    </row>
    <row r="364" spans="1:34" s="25" customFormat="1" ht="20.25" customHeight="1" x14ac:dyDescent="0.45">
      <c r="A364" s="26"/>
      <c r="B364" s="28">
        <v>24</v>
      </c>
      <c r="H364" s="27">
        <v>121.81399999999999</v>
      </c>
      <c r="I364" s="29"/>
      <c r="J364" s="29"/>
      <c r="L364" s="27">
        <v>24</v>
      </c>
      <c r="O364" s="29"/>
      <c r="P364" s="29"/>
      <c r="R364" s="27">
        <v>168.34700000000001</v>
      </c>
      <c r="S364" s="29"/>
      <c r="Y364" s="25">
        <v>18</v>
      </c>
      <c r="Z364" s="25">
        <v>2.698</v>
      </c>
      <c r="AA364" s="28"/>
      <c r="AB364" s="28"/>
      <c r="AC364" s="25">
        <v>18</v>
      </c>
      <c r="AD364" s="25">
        <v>4.9989999999999997</v>
      </c>
      <c r="AE364" s="28"/>
      <c r="AF364" s="28"/>
      <c r="AG364" s="28"/>
      <c r="AH364" s="28"/>
    </row>
    <row r="365" spans="1:34" s="25" customFormat="1" ht="20.25" customHeight="1" x14ac:dyDescent="0.45">
      <c r="A365" s="26"/>
      <c r="B365" s="28">
        <v>25</v>
      </c>
      <c r="H365" s="29"/>
      <c r="I365" s="27">
        <v>9.0050000000000008</v>
      </c>
      <c r="J365" s="27">
        <f>I366/I365</f>
        <v>0.63287062742920597</v>
      </c>
      <c r="L365" s="27">
        <v>25</v>
      </c>
      <c r="M365" s="29"/>
      <c r="N365" s="27">
        <v>9.266</v>
      </c>
      <c r="O365" s="27">
        <f>N366/N365</f>
        <v>0.49201381394344917</v>
      </c>
      <c r="P365" s="29"/>
      <c r="Y365" s="25">
        <v>19</v>
      </c>
      <c r="Z365" s="25">
        <v>6.6319999999999997</v>
      </c>
      <c r="AA365" s="25">
        <f>Z366/Z365</f>
        <v>0.67702050663449942</v>
      </c>
      <c r="AB365" s="28"/>
      <c r="AC365" s="25">
        <v>19</v>
      </c>
      <c r="AD365" s="25">
        <v>9.8680000000000003</v>
      </c>
      <c r="AE365" s="25">
        <f>AD366/AD365</f>
        <v>0.5117551682205107</v>
      </c>
      <c r="AF365" s="28"/>
      <c r="AG365" s="28"/>
      <c r="AH365" s="28"/>
    </row>
    <row r="366" spans="1:34" s="25" customFormat="1" ht="20.25" customHeight="1" x14ac:dyDescent="0.45">
      <c r="A366" s="26"/>
      <c r="B366" s="28">
        <v>26</v>
      </c>
      <c r="H366" s="29"/>
      <c r="I366" s="27">
        <v>5.6989999999999998</v>
      </c>
      <c r="J366" s="29"/>
      <c r="L366" s="27">
        <v>26</v>
      </c>
      <c r="M366" s="29"/>
      <c r="N366" s="27">
        <v>4.5590000000000002</v>
      </c>
      <c r="O366" s="29"/>
      <c r="P366" s="29"/>
      <c r="Y366" s="25">
        <v>20</v>
      </c>
      <c r="Z366" s="25">
        <v>4.49</v>
      </c>
      <c r="AA366" s="28"/>
      <c r="AB366" s="28"/>
      <c r="AC366" s="25">
        <v>20</v>
      </c>
      <c r="AD366" s="25">
        <v>5.05</v>
      </c>
      <c r="AE366" s="28"/>
      <c r="AF366" s="28"/>
      <c r="AG366" s="28"/>
      <c r="AH366" s="28"/>
    </row>
    <row r="367" spans="1:34" s="25" customFormat="1" ht="20.25" customHeight="1" x14ac:dyDescent="0.45">
      <c r="A367" s="26"/>
      <c r="B367" s="28">
        <v>27</v>
      </c>
      <c r="H367" s="27">
        <v>151.94300000000001</v>
      </c>
      <c r="I367" s="29"/>
      <c r="J367" s="29"/>
      <c r="L367" s="27">
        <v>27</v>
      </c>
      <c r="M367" s="27">
        <v>39.537999999999997</v>
      </c>
      <c r="N367" s="29"/>
      <c r="O367" s="29"/>
      <c r="P367" s="29"/>
      <c r="AA367" s="25">
        <f>SUM(AA347:AA366)</f>
        <v>5.0902968386228924</v>
      </c>
      <c r="AE367" s="25">
        <f>SUM(AE347:AE366)</f>
        <v>4.4707109627781163</v>
      </c>
    </row>
    <row r="368" spans="1:34" s="25" customFormat="1" ht="20.25" customHeight="1" x14ac:dyDescent="0.45">
      <c r="A368" s="26"/>
      <c r="B368" s="28">
        <v>28</v>
      </c>
      <c r="C368" s="29"/>
      <c r="D368" s="27">
        <v>8.5329999999999995</v>
      </c>
      <c r="E368" s="27">
        <f>D369/D368</f>
        <v>0.72120004687683115</v>
      </c>
      <c r="H368" s="29"/>
      <c r="L368" s="27">
        <v>28</v>
      </c>
      <c r="M368" s="29"/>
      <c r="N368" s="27">
        <v>10.356999999999999</v>
      </c>
      <c r="O368" s="27">
        <f>N369/N368</f>
        <v>0.46461330501110365</v>
      </c>
      <c r="P368" s="29"/>
    </row>
    <row r="369" spans="1:36" s="25" customFormat="1" ht="20.25" customHeight="1" x14ac:dyDescent="0.45">
      <c r="A369" s="26"/>
      <c r="B369" s="28">
        <v>29</v>
      </c>
      <c r="C369" s="29"/>
      <c r="D369" s="27">
        <v>6.1539999999999999</v>
      </c>
      <c r="E369" s="29"/>
      <c r="H369" s="29"/>
      <c r="L369" s="27">
        <v>29</v>
      </c>
      <c r="M369" s="29"/>
      <c r="N369" s="27">
        <v>4.8120000000000003</v>
      </c>
      <c r="O369" s="29"/>
      <c r="P369" s="29"/>
      <c r="Y369" s="25" t="s">
        <v>81</v>
      </c>
    </row>
    <row r="370" spans="1:36" s="25" customFormat="1" ht="20.25" customHeight="1" x14ac:dyDescent="0.45">
      <c r="A370" s="26"/>
      <c r="B370" s="28">
        <v>30</v>
      </c>
      <c r="C370" s="27">
        <v>87.688999999999993</v>
      </c>
      <c r="D370" s="29"/>
      <c r="E370" s="29"/>
      <c r="H370" s="29"/>
      <c r="L370" s="27">
        <v>30</v>
      </c>
      <c r="M370" s="27">
        <v>86.152000000000001</v>
      </c>
      <c r="N370" s="29"/>
      <c r="O370" s="29"/>
      <c r="P370" s="29"/>
      <c r="Y370" s="25">
        <v>1</v>
      </c>
      <c r="Z370" s="25">
        <v>4.8460000000000001</v>
      </c>
      <c r="AA370" s="25">
        <f>Z370/Z371</f>
        <v>0.93317927979973048</v>
      </c>
      <c r="AB370" s="28"/>
      <c r="AC370" s="25">
        <v>1</v>
      </c>
      <c r="AD370" s="25">
        <v>14.670999999999999</v>
      </c>
      <c r="AE370" s="25">
        <f>AD371/AD370</f>
        <v>0.2974575693545089</v>
      </c>
      <c r="AF370" s="28"/>
      <c r="AG370" s="28"/>
      <c r="AH370" s="28"/>
      <c r="AI370" s="28"/>
      <c r="AJ370" s="28"/>
    </row>
    <row r="371" spans="1:36" s="25" customFormat="1" ht="20.25" customHeight="1" x14ac:dyDescent="0.45">
      <c r="A371" s="26"/>
      <c r="B371" s="28">
        <v>31</v>
      </c>
      <c r="C371" s="29"/>
      <c r="D371" s="27">
        <v>11.835000000000001</v>
      </c>
      <c r="E371" s="27">
        <f>D372/D371</f>
        <v>0.44224757076468102</v>
      </c>
      <c r="H371" s="29"/>
      <c r="L371" s="27">
        <v>31</v>
      </c>
      <c r="M371" s="29"/>
      <c r="N371" s="27">
        <v>10.797000000000001</v>
      </c>
      <c r="O371" s="27">
        <f>N372/N371</f>
        <v>0.40742798925627488</v>
      </c>
      <c r="P371" s="29"/>
      <c r="Y371" s="25">
        <v>2</v>
      </c>
      <c r="Z371" s="25">
        <v>5.1929999999999996</v>
      </c>
      <c r="AA371" s="28"/>
      <c r="AB371" s="28"/>
      <c r="AC371" s="25">
        <v>2</v>
      </c>
      <c r="AD371" s="25">
        <v>4.3639999999999999</v>
      </c>
      <c r="AE371" s="28"/>
      <c r="AF371" s="28"/>
      <c r="AG371" s="28"/>
      <c r="AH371" s="28"/>
      <c r="AI371" s="28"/>
      <c r="AJ371" s="28"/>
    </row>
    <row r="372" spans="1:36" s="25" customFormat="1" ht="20.25" customHeight="1" x14ac:dyDescent="0.45">
      <c r="A372" s="26"/>
      <c r="B372" s="28">
        <v>32</v>
      </c>
      <c r="C372" s="29"/>
      <c r="D372" s="27">
        <v>5.234</v>
      </c>
      <c r="E372" s="29"/>
      <c r="H372" s="29"/>
      <c r="L372" s="27">
        <v>32</v>
      </c>
      <c r="M372" s="29"/>
      <c r="N372" s="27">
        <v>4.399</v>
      </c>
      <c r="O372" s="29"/>
      <c r="P372" s="29"/>
      <c r="Y372" s="25">
        <v>3</v>
      </c>
      <c r="Z372" s="25">
        <v>5.7670000000000003</v>
      </c>
      <c r="AA372" s="25">
        <f>Z373/Z372</f>
        <v>0.77284550026010046</v>
      </c>
      <c r="AB372" s="28"/>
      <c r="AC372" s="25">
        <v>3</v>
      </c>
      <c r="AD372" s="25">
        <v>11.808</v>
      </c>
      <c r="AE372" s="25">
        <f>AD373/AD372</f>
        <v>0.35857046070460707</v>
      </c>
      <c r="AF372" s="28"/>
      <c r="AG372" s="28"/>
      <c r="AH372" s="28"/>
      <c r="AI372" s="28"/>
      <c r="AJ372" s="28"/>
    </row>
    <row r="373" spans="1:36" s="25" customFormat="1" ht="20.25" customHeight="1" x14ac:dyDescent="0.45">
      <c r="A373" s="26"/>
      <c r="B373" s="28">
        <v>33</v>
      </c>
      <c r="C373" s="27">
        <v>38.723999999999997</v>
      </c>
      <c r="D373" s="29"/>
      <c r="E373" s="29"/>
      <c r="H373" s="29"/>
      <c r="L373" s="27">
        <v>33</v>
      </c>
      <c r="M373" s="27">
        <v>77.692999999999998</v>
      </c>
      <c r="N373" s="29"/>
      <c r="O373" s="29"/>
      <c r="P373" s="29"/>
      <c r="Y373" s="25">
        <v>4</v>
      </c>
      <c r="Z373" s="25">
        <v>4.4569999999999999</v>
      </c>
      <c r="AA373" s="28"/>
      <c r="AB373" s="28"/>
      <c r="AC373" s="25">
        <v>4</v>
      </c>
      <c r="AD373" s="25">
        <v>4.234</v>
      </c>
      <c r="AE373" s="28"/>
      <c r="AF373" s="28"/>
      <c r="AG373" s="28"/>
      <c r="AH373" s="28"/>
      <c r="AI373" s="28"/>
      <c r="AJ373" s="28"/>
    </row>
    <row r="374" spans="1:36" s="25" customFormat="1" ht="20.25" customHeight="1" x14ac:dyDescent="0.45">
      <c r="A374" s="26"/>
      <c r="B374" s="28">
        <v>34</v>
      </c>
      <c r="H374" s="29"/>
      <c r="I374" s="27">
        <v>7.335</v>
      </c>
      <c r="J374" s="27">
        <f>I375/I374</f>
        <v>0.69965916837082476</v>
      </c>
      <c r="L374" s="27">
        <v>34</v>
      </c>
      <c r="M374" s="29"/>
      <c r="N374" s="27">
        <v>9.9429999999999996</v>
      </c>
      <c r="O374" s="27">
        <f>N375/N374</f>
        <v>0.34868751885748772</v>
      </c>
      <c r="P374" s="29"/>
      <c r="Y374" s="25">
        <v>5</v>
      </c>
      <c r="Z374" s="25">
        <v>5.665</v>
      </c>
      <c r="AA374" s="25">
        <f>Z374/Z375</f>
        <v>0.76855243521910188</v>
      </c>
      <c r="AB374" s="28"/>
      <c r="AC374" s="25">
        <v>5</v>
      </c>
      <c r="AD374" s="25">
        <v>10.019</v>
      </c>
      <c r="AE374" s="25">
        <f>AD375/AD374</f>
        <v>0.33725920750573907</v>
      </c>
      <c r="AF374" s="28"/>
      <c r="AG374" s="28"/>
      <c r="AH374" s="28"/>
      <c r="AI374" s="28"/>
      <c r="AJ374" s="28"/>
    </row>
    <row r="375" spans="1:36" s="25" customFormat="1" ht="20.25" customHeight="1" x14ac:dyDescent="0.45">
      <c r="A375" s="26"/>
      <c r="B375" s="28">
        <v>35</v>
      </c>
      <c r="H375" s="29"/>
      <c r="I375" s="27">
        <v>5.1319999999999997</v>
      </c>
      <c r="J375" s="29"/>
      <c r="L375" s="27">
        <v>35</v>
      </c>
      <c r="M375" s="29"/>
      <c r="N375" s="27">
        <v>3.4670000000000001</v>
      </c>
      <c r="O375" s="29"/>
      <c r="P375" s="29"/>
      <c r="Y375" s="25">
        <v>6</v>
      </c>
      <c r="Z375" s="25">
        <v>7.3710000000000004</v>
      </c>
      <c r="AA375" s="28"/>
      <c r="AB375" s="28"/>
      <c r="AC375" s="25">
        <v>6</v>
      </c>
      <c r="AD375" s="25">
        <v>3.379</v>
      </c>
      <c r="AE375" s="28"/>
      <c r="AF375" s="28"/>
      <c r="AG375" s="28"/>
      <c r="AH375" s="28"/>
      <c r="AI375" s="28"/>
      <c r="AJ375" s="28"/>
    </row>
    <row r="376" spans="1:36" s="25" customFormat="1" ht="20.25" customHeight="1" x14ac:dyDescent="0.45">
      <c r="A376" s="26"/>
      <c r="B376" s="28">
        <v>36</v>
      </c>
      <c r="H376" s="27">
        <v>146.82400000000001</v>
      </c>
      <c r="I376" s="29"/>
      <c r="J376" s="29"/>
      <c r="L376" s="27">
        <v>36</v>
      </c>
      <c r="M376" s="27">
        <v>9.9390000000000001</v>
      </c>
      <c r="N376" s="29"/>
      <c r="O376" s="29"/>
      <c r="P376" s="29"/>
      <c r="Y376" s="25">
        <v>7</v>
      </c>
      <c r="Z376" s="25">
        <v>6.7510000000000003</v>
      </c>
      <c r="AA376" s="25">
        <f>Z377/Z376</f>
        <v>0.86964894089764477</v>
      </c>
      <c r="AB376" s="28"/>
      <c r="AC376" s="25">
        <v>7</v>
      </c>
      <c r="AD376" s="25">
        <v>4.1769999999999996</v>
      </c>
      <c r="AE376" s="25">
        <f>AD376/AD377</f>
        <v>0.61435505221356068</v>
      </c>
      <c r="AF376" s="28"/>
      <c r="AG376" s="28"/>
      <c r="AH376" s="28"/>
      <c r="AI376" s="28"/>
      <c r="AJ376" s="28"/>
    </row>
    <row r="377" spans="1:36" s="25" customFormat="1" ht="20.25" customHeight="1" x14ac:dyDescent="0.45">
      <c r="A377" s="26"/>
      <c r="B377" s="28">
        <v>37</v>
      </c>
      <c r="H377" s="29"/>
      <c r="I377" s="27">
        <v>10.829000000000001</v>
      </c>
      <c r="J377" s="27">
        <f>I378/I377</f>
        <v>0.47714470403546028</v>
      </c>
      <c r="L377" s="27">
        <v>37</v>
      </c>
      <c r="M377" s="29"/>
      <c r="N377" s="27">
        <v>10.098000000000001</v>
      </c>
      <c r="O377" s="27">
        <f>N378/N377</f>
        <v>0.40612002376708256</v>
      </c>
      <c r="P377" s="29"/>
      <c r="Y377" s="25">
        <v>8</v>
      </c>
      <c r="Z377" s="25">
        <v>5.8710000000000004</v>
      </c>
      <c r="AA377" s="28"/>
      <c r="AB377" s="28"/>
      <c r="AC377" s="25">
        <v>8</v>
      </c>
      <c r="AD377" s="25">
        <v>6.7990000000000004</v>
      </c>
      <c r="AE377" s="28"/>
      <c r="AF377" s="28"/>
      <c r="AG377" s="28"/>
      <c r="AH377" s="28"/>
      <c r="AI377" s="28"/>
      <c r="AJ377" s="28"/>
    </row>
    <row r="378" spans="1:36" s="25" customFormat="1" ht="20.25" customHeight="1" x14ac:dyDescent="0.45">
      <c r="A378" s="26"/>
      <c r="B378" s="28">
        <v>38</v>
      </c>
      <c r="H378" s="29"/>
      <c r="I378" s="27">
        <v>5.1669999999999998</v>
      </c>
      <c r="J378" s="29"/>
      <c r="L378" s="27">
        <v>38</v>
      </c>
      <c r="M378" s="29"/>
      <c r="N378" s="27">
        <v>4.101</v>
      </c>
      <c r="O378" s="29"/>
      <c r="P378" s="29"/>
      <c r="Y378" s="25">
        <v>9</v>
      </c>
      <c r="Z378" s="25">
        <v>5.46</v>
      </c>
      <c r="AA378" s="25">
        <f>Z378/Z379</f>
        <v>0.86488198954538253</v>
      </c>
      <c r="AB378" s="28"/>
      <c r="AC378" s="25">
        <v>9</v>
      </c>
      <c r="AD378" s="25">
        <v>7.2649999999999997</v>
      </c>
      <c r="AE378" s="25">
        <f>AD379/AD378</f>
        <v>0.57219545767377844</v>
      </c>
      <c r="AF378" s="28"/>
      <c r="AG378" s="28"/>
      <c r="AH378" s="28"/>
      <c r="AI378" s="28"/>
      <c r="AJ378" s="28"/>
    </row>
    <row r="379" spans="1:36" s="25" customFormat="1" ht="20.25" customHeight="1" x14ac:dyDescent="0.45">
      <c r="A379" s="26"/>
      <c r="B379" s="28">
        <v>39</v>
      </c>
      <c r="H379" s="27">
        <v>165.40299999999999</v>
      </c>
      <c r="I379" s="29"/>
      <c r="J379" s="29"/>
      <c r="L379" s="27">
        <v>39</v>
      </c>
      <c r="M379" s="27">
        <v>86.385999999999996</v>
      </c>
      <c r="N379" s="29"/>
      <c r="O379" s="29"/>
      <c r="P379" s="29"/>
      <c r="Y379" s="25">
        <v>10</v>
      </c>
      <c r="Z379" s="25">
        <v>6.3129999999999997</v>
      </c>
      <c r="AA379" s="28"/>
      <c r="AB379" s="28"/>
      <c r="AC379" s="25">
        <v>10</v>
      </c>
      <c r="AD379" s="25">
        <v>4.157</v>
      </c>
      <c r="AE379" s="28"/>
      <c r="AF379" s="28"/>
      <c r="AG379" s="28"/>
      <c r="AH379" s="28"/>
      <c r="AI379" s="28"/>
      <c r="AJ379" s="28"/>
    </row>
    <row r="380" spans="1:36" s="25" customFormat="1" ht="20.25" customHeight="1" x14ac:dyDescent="0.45">
      <c r="A380" s="26"/>
      <c r="B380" s="28">
        <v>40</v>
      </c>
      <c r="H380" s="29"/>
      <c r="I380" s="27">
        <v>7.3049999999999997</v>
      </c>
      <c r="J380" s="27">
        <f>I381/I380</f>
        <v>0.5477070499657769</v>
      </c>
      <c r="L380" s="27">
        <v>40</v>
      </c>
      <c r="M380" s="29"/>
      <c r="N380" s="27">
        <v>11.894</v>
      </c>
      <c r="O380" s="27">
        <f>N381/N380</f>
        <v>0.42433159576256935</v>
      </c>
      <c r="P380" s="29"/>
      <c r="Y380" s="25">
        <v>11</v>
      </c>
      <c r="Z380" s="25">
        <v>8.52</v>
      </c>
      <c r="AA380" s="25">
        <f>Z381/Z380</f>
        <v>0.36866197183098592</v>
      </c>
      <c r="AB380" s="28"/>
      <c r="AC380" s="25">
        <v>11</v>
      </c>
      <c r="AD380" s="25">
        <v>10.584</v>
      </c>
      <c r="AE380" s="25">
        <f>AD381/AD380</f>
        <v>0.45275888133030989</v>
      </c>
      <c r="AF380" s="28"/>
      <c r="AG380" s="28"/>
      <c r="AH380" s="28"/>
      <c r="AI380" s="28"/>
      <c r="AJ380" s="28"/>
    </row>
    <row r="381" spans="1:36" s="25" customFormat="1" ht="20.25" customHeight="1" x14ac:dyDescent="0.45">
      <c r="A381" s="26"/>
      <c r="B381" s="28">
        <v>41</v>
      </c>
      <c r="H381" s="29"/>
      <c r="I381" s="27">
        <v>4.0010000000000003</v>
      </c>
      <c r="J381" s="29"/>
      <c r="L381" s="27">
        <v>41</v>
      </c>
      <c r="M381" s="29"/>
      <c r="N381" s="27">
        <v>5.0469999999999997</v>
      </c>
      <c r="O381" s="29"/>
      <c r="P381" s="29"/>
      <c r="Y381" s="25">
        <v>12</v>
      </c>
      <c r="Z381" s="25">
        <v>3.141</v>
      </c>
      <c r="AA381" s="28"/>
      <c r="AB381" s="28"/>
      <c r="AC381" s="25">
        <v>12</v>
      </c>
      <c r="AD381" s="25">
        <v>4.7919999999999998</v>
      </c>
      <c r="AE381" s="28"/>
      <c r="AF381" s="28"/>
      <c r="AG381" s="28"/>
      <c r="AH381" s="28"/>
      <c r="AI381" s="28"/>
      <c r="AJ381" s="28"/>
    </row>
    <row r="382" spans="1:36" s="25" customFormat="1" ht="20.25" customHeight="1" x14ac:dyDescent="0.45">
      <c r="A382" s="26"/>
      <c r="B382" s="28">
        <v>42</v>
      </c>
      <c r="H382" s="27">
        <v>165.99799999999999</v>
      </c>
      <c r="I382" s="29"/>
      <c r="J382" s="29"/>
      <c r="L382" s="27">
        <v>42</v>
      </c>
      <c r="M382" s="27">
        <v>60.378999999999998</v>
      </c>
      <c r="N382" s="29"/>
      <c r="O382" s="29"/>
      <c r="P382" s="29"/>
      <c r="Y382" s="25">
        <v>13</v>
      </c>
      <c r="Z382" s="25">
        <v>6.5140000000000002</v>
      </c>
      <c r="AA382" s="25">
        <f>Z383/Z382</f>
        <v>0.63494012895302421</v>
      </c>
      <c r="AB382" s="28"/>
      <c r="AC382" s="25">
        <v>13</v>
      </c>
      <c r="AD382" s="25">
        <v>12.055</v>
      </c>
      <c r="AE382" s="25">
        <f>AD383/AD382</f>
        <v>0.17221070095396102</v>
      </c>
      <c r="AF382" s="28"/>
      <c r="AG382" s="28"/>
      <c r="AH382" s="28"/>
      <c r="AI382" s="28"/>
      <c r="AJ382" s="28"/>
    </row>
    <row r="383" spans="1:36" s="25" customFormat="1" ht="20.25" customHeight="1" x14ac:dyDescent="0.45">
      <c r="A383" s="26"/>
      <c r="B383" s="28">
        <v>43</v>
      </c>
      <c r="C383" s="29"/>
      <c r="D383" s="27">
        <v>9.01</v>
      </c>
      <c r="E383" s="27">
        <f>D384/D383</f>
        <v>0.52752497225305217</v>
      </c>
      <c r="H383" s="29"/>
      <c r="L383" s="27">
        <v>43</v>
      </c>
      <c r="M383" s="29"/>
      <c r="N383" s="27">
        <v>9.4979999999999993</v>
      </c>
      <c r="O383" s="27">
        <f>N384/N383</f>
        <v>0.44556748789218786</v>
      </c>
      <c r="P383" s="29"/>
      <c r="Y383" s="25">
        <v>14</v>
      </c>
      <c r="Z383" s="25">
        <v>4.1360000000000001</v>
      </c>
      <c r="AA383" s="28"/>
      <c r="AB383" s="28"/>
      <c r="AC383" s="25">
        <v>14</v>
      </c>
      <c r="AD383" s="25">
        <v>2.0760000000000001</v>
      </c>
      <c r="AE383" s="28"/>
      <c r="AF383" s="28"/>
      <c r="AG383" s="28"/>
      <c r="AH383" s="28"/>
      <c r="AI383" s="28"/>
      <c r="AJ383" s="28"/>
    </row>
    <row r="384" spans="1:36" s="25" customFormat="1" ht="20.25" customHeight="1" x14ac:dyDescent="0.45">
      <c r="A384" s="26"/>
      <c r="B384" s="28">
        <v>44</v>
      </c>
      <c r="C384" s="29"/>
      <c r="D384" s="27">
        <v>4.7530000000000001</v>
      </c>
      <c r="E384" s="29"/>
      <c r="H384" s="29"/>
      <c r="L384" s="27">
        <v>44</v>
      </c>
      <c r="M384" s="29"/>
      <c r="N384" s="27">
        <v>4.2320000000000002</v>
      </c>
      <c r="O384" s="29"/>
      <c r="P384" s="29"/>
      <c r="Y384" s="25">
        <v>15</v>
      </c>
      <c r="Z384" s="25">
        <v>7.9560000000000004</v>
      </c>
      <c r="AA384" s="25">
        <f>Z385/Z384</f>
        <v>0.48743086978381095</v>
      </c>
      <c r="AB384" s="28"/>
      <c r="AC384" s="25">
        <v>15</v>
      </c>
      <c r="AD384" s="25">
        <v>8.1690000000000005</v>
      </c>
      <c r="AE384" s="25">
        <f>AD385/AD384</f>
        <v>0.61451830089362214</v>
      </c>
      <c r="AF384" s="28"/>
      <c r="AG384" s="28"/>
      <c r="AH384" s="28"/>
      <c r="AI384" s="28"/>
      <c r="AJ384" s="28"/>
    </row>
    <row r="385" spans="1:36" s="25" customFormat="1" ht="20.25" customHeight="1" x14ac:dyDescent="0.45">
      <c r="A385" s="26"/>
      <c r="B385" s="28">
        <v>45</v>
      </c>
      <c r="C385" s="27">
        <v>66.971000000000004</v>
      </c>
      <c r="D385" s="29"/>
      <c r="E385" s="29"/>
      <c r="H385" s="29"/>
      <c r="L385" s="27">
        <v>45</v>
      </c>
      <c r="M385" s="27">
        <v>63.893000000000001</v>
      </c>
      <c r="N385" s="29"/>
      <c r="O385" s="29"/>
      <c r="P385" s="29"/>
      <c r="Y385" s="25">
        <v>16</v>
      </c>
      <c r="Z385" s="25">
        <v>3.8780000000000001</v>
      </c>
      <c r="AA385" s="28"/>
      <c r="AB385" s="28"/>
      <c r="AC385" s="25">
        <v>16</v>
      </c>
      <c r="AD385" s="25">
        <v>5.0199999999999996</v>
      </c>
      <c r="AE385" s="28"/>
      <c r="AF385" s="28"/>
      <c r="AG385" s="28"/>
      <c r="AH385" s="28"/>
      <c r="AI385" s="28"/>
      <c r="AJ385" s="28"/>
    </row>
    <row r="386" spans="1:36" s="25" customFormat="1" ht="20.25" customHeight="1" x14ac:dyDescent="0.45">
      <c r="A386" s="26"/>
      <c r="B386" s="28">
        <v>46</v>
      </c>
      <c r="H386" s="29"/>
      <c r="I386" s="27">
        <v>7.8230000000000004</v>
      </c>
      <c r="J386" s="27">
        <f>I387/I386</f>
        <v>0.60207081682219099</v>
      </c>
      <c r="L386" s="27">
        <v>46</v>
      </c>
      <c r="N386" s="27"/>
      <c r="O386" s="29"/>
      <c r="P386" s="29"/>
      <c r="R386" s="29"/>
      <c r="S386" s="27">
        <v>12.882</v>
      </c>
      <c r="T386" s="27">
        <f>S387/S386</f>
        <v>0.40195621797857478</v>
      </c>
      <c r="Y386" s="25">
        <v>17</v>
      </c>
      <c r="Z386" s="25">
        <v>6.7770000000000001</v>
      </c>
      <c r="AA386" s="25">
        <f>Z387/Z386</f>
        <v>0.97476759628154042</v>
      </c>
      <c r="AB386" s="28"/>
      <c r="AC386" s="25">
        <v>17</v>
      </c>
      <c r="AD386" s="25">
        <v>9.8460000000000001</v>
      </c>
      <c r="AE386" s="25">
        <f>AD387/AD386</f>
        <v>0.3217550274223035</v>
      </c>
      <c r="AF386" s="28"/>
      <c r="AG386" s="28"/>
      <c r="AH386" s="28"/>
      <c r="AI386" s="28"/>
      <c r="AJ386" s="28"/>
    </row>
    <row r="387" spans="1:36" s="25" customFormat="1" ht="20.25" customHeight="1" x14ac:dyDescent="0.45">
      <c r="A387" s="26"/>
      <c r="B387" s="28">
        <v>47</v>
      </c>
      <c r="H387" s="29"/>
      <c r="I387" s="27">
        <v>4.71</v>
      </c>
      <c r="J387" s="29"/>
      <c r="L387" s="27">
        <v>47</v>
      </c>
      <c r="N387" s="27"/>
      <c r="O387" s="29"/>
      <c r="P387" s="29"/>
      <c r="R387" s="29"/>
      <c r="S387" s="27">
        <v>5.1779999999999999</v>
      </c>
      <c r="Y387" s="25">
        <v>18</v>
      </c>
      <c r="Z387" s="25">
        <v>6.6059999999999999</v>
      </c>
      <c r="AA387" s="28"/>
      <c r="AB387" s="28"/>
      <c r="AC387" s="25">
        <v>18</v>
      </c>
      <c r="AD387" s="25">
        <v>3.1680000000000001</v>
      </c>
      <c r="AE387" s="28"/>
      <c r="AF387" s="28"/>
      <c r="AG387" s="28"/>
      <c r="AH387" s="28"/>
      <c r="AI387" s="28"/>
      <c r="AJ387" s="28"/>
    </row>
    <row r="388" spans="1:36" s="25" customFormat="1" ht="20.25" customHeight="1" x14ac:dyDescent="0.45">
      <c r="A388" s="26"/>
      <c r="B388" s="28">
        <v>48</v>
      </c>
      <c r="H388" s="27">
        <v>134.68899999999999</v>
      </c>
      <c r="I388" s="29"/>
      <c r="J388" s="29"/>
      <c r="L388" s="27">
        <v>48</v>
      </c>
      <c r="N388" s="27"/>
      <c r="O388" s="29"/>
      <c r="P388" s="29"/>
      <c r="R388" s="27">
        <v>167.94399999999999</v>
      </c>
      <c r="S388" s="29"/>
      <c r="Y388" s="25">
        <v>19</v>
      </c>
      <c r="Z388" s="25">
        <v>5.4960000000000004</v>
      </c>
      <c r="AA388" s="25">
        <f>Z389/Z388</f>
        <v>0.84861717612809306</v>
      </c>
      <c r="AB388" s="28"/>
      <c r="AC388" s="25">
        <v>19</v>
      </c>
      <c r="AD388" s="25">
        <v>9.1349999999999998</v>
      </c>
      <c r="AE388" s="25">
        <f>AD389/AD388</f>
        <v>0.43415435139573072</v>
      </c>
      <c r="AF388" s="28"/>
      <c r="AG388" s="28"/>
      <c r="AH388" s="28"/>
      <c r="AI388" s="28"/>
      <c r="AJ388" s="28"/>
    </row>
    <row r="389" spans="1:36" s="25" customFormat="1" ht="20.25" customHeight="1" x14ac:dyDescent="0.45">
      <c r="A389" s="26"/>
      <c r="B389" s="28">
        <v>49</v>
      </c>
      <c r="H389" s="29"/>
      <c r="I389" s="27">
        <v>7.48</v>
      </c>
      <c r="J389" s="27">
        <f>I390/I389</f>
        <v>0.64745989304812834</v>
      </c>
      <c r="L389" s="27">
        <v>49</v>
      </c>
      <c r="N389" s="27"/>
      <c r="O389" s="29"/>
      <c r="P389" s="29"/>
      <c r="R389" s="29"/>
      <c r="S389" s="27">
        <v>14.878</v>
      </c>
      <c r="T389" s="27">
        <f>S390/S389</f>
        <v>0.19942196531791909</v>
      </c>
      <c r="Y389" s="25">
        <v>20</v>
      </c>
      <c r="Z389" s="25">
        <v>4.6639999999999997</v>
      </c>
      <c r="AA389" s="28"/>
      <c r="AB389" s="28"/>
      <c r="AC389" s="25">
        <v>20</v>
      </c>
      <c r="AD389" s="25">
        <v>3.9660000000000002</v>
      </c>
      <c r="AE389" s="28"/>
      <c r="AF389" s="28"/>
      <c r="AG389" s="28"/>
      <c r="AH389" s="28"/>
      <c r="AI389" s="28"/>
      <c r="AJ389" s="28"/>
    </row>
    <row r="390" spans="1:36" s="25" customFormat="1" ht="20.25" customHeight="1" x14ac:dyDescent="0.45">
      <c r="A390" s="26"/>
      <c r="B390" s="28">
        <v>50</v>
      </c>
      <c r="H390" s="29"/>
      <c r="I390" s="27">
        <v>4.843</v>
      </c>
      <c r="J390" s="29"/>
      <c r="L390" s="27">
        <v>50</v>
      </c>
      <c r="N390" s="27"/>
      <c r="O390" s="29"/>
      <c r="P390" s="29"/>
      <c r="R390" s="29"/>
      <c r="S390" s="27">
        <v>2.9670000000000001</v>
      </c>
      <c r="AA390" s="25">
        <f>SUM(AA370:AA389)</f>
        <v>7.5235258886994156</v>
      </c>
      <c r="AE390" s="25">
        <f>SUM(AE370:AE389)</f>
        <v>4.1752350094481221</v>
      </c>
    </row>
    <row r="391" spans="1:36" s="25" customFormat="1" ht="20.25" customHeight="1" x14ac:dyDescent="0.45">
      <c r="A391" s="26"/>
      <c r="B391" s="28">
        <v>51</v>
      </c>
      <c r="H391" s="27">
        <v>141.26599999999999</v>
      </c>
      <c r="I391" s="29"/>
      <c r="J391" s="29"/>
      <c r="L391" s="27">
        <v>51</v>
      </c>
      <c r="N391" s="27"/>
      <c r="O391" s="29"/>
      <c r="P391" s="29"/>
      <c r="R391" s="27">
        <v>173.27500000000001</v>
      </c>
      <c r="S391" s="29"/>
    </row>
    <row r="392" spans="1:36" s="25" customFormat="1" ht="20.25" customHeight="1" x14ac:dyDescent="0.45">
      <c r="A392" s="26"/>
      <c r="B392" s="28">
        <v>52</v>
      </c>
      <c r="H392" s="29"/>
      <c r="I392" s="27">
        <v>9.2720000000000002</v>
      </c>
      <c r="J392" s="27">
        <f>I393/I392</f>
        <v>0.53311044003451247</v>
      </c>
      <c r="L392" s="27">
        <v>52</v>
      </c>
      <c r="M392" s="29"/>
      <c r="N392" s="27">
        <v>11.693</v>
      </c>
      <c r="O392" s="27">
        <f>N393/N392</f>
        <v>0.29795604207645598</v>
      </c>
      <c r="P392" s="29"/>
      <c r="Y392" s="25" t="s">
        <v>82</v>
      </c>
    </row>
    <row r="393" spans="1:36" s="25" customFormat="1" ht="20.25" customHeight="1" x14ac:dyDescent="0.45">
      <c r="A393" s="26"/>
      <c r="B393" s="28">
        <v>53</v>
      </c>
      <c r="H393" s="29"/>
      <c r="I393" s="27">
        <v>4.9429999999999996</v>
      </c>
      <c r="J393" s="29"/>
      <c r="L393" s="27">
        <v>53</v>
      </c>
      <c r="M393" s="29"/>
      <c r="N393" s="27">
        <v>3.484</v>
      </c>
      <c r="O393" s="29"/>
      <c r="P393" s="29"/>
      <c r="Y393" s="25">
        <v>1</v>
      </c>
      <c r="Z393" s="25">
        <v>5.7670000000000003</v>
      </c>
      <c r="AA393" s="25">
        <f>Z394/Z393</f>
        <v>0.84255245361539788</v>
      </c>
      <c r="AB393" s="28"/>
      <c r="AC393" s="25">
        <v>1</v>
      </c>
      <c r="AD393" s="25">
        <v>8.6709999999999994</v>
      </c>
      <c r="AE393" s="25">
        <f>AD394/AD393</f>
        <v>0.68089032406873495</v>
      </c>
      <c r="AF393" s="28"/>
      <c r="AG393" s="28"/>
      <c r="AH393" s="28"/>
    </row>
    <row r="394" spans="1:36" s="25" customFormat="1" ht="20.25" customHeight="1" x14ac:dyDescent="0.45">
      <c r="A394" s="26"/>
      <c r="B394" s="28">
        <v>54</v>
      </c>
      <c r="H394" s="27">
        <v>165.178</v>
      </c>
      <c r="I394" s="29"/>
      <c r="J394" s="29"/>
      <c r="L394" s="27">
        <v>54</v>
      </c>
      <c r="M394" s="27">
        <v>51.594999999999999</v>
      </c>
      <c r="N394" s="29"/>
      <c r="O394" s="29"/>
      <c r="P394" s="29"/>
      <c r="Y394" s="25">
        <v>2</v>
      </c>
      <c r="Z394" s="25">
        <v>4.859</v>
      </c>
      <c r="AA394" s="28"/>
      <c r="AB394" s="28"/>
      <c r="AC394" s="25">
        <v>2</v>
      </c>
      <c r="AD394" s="25">
        <v>5.9039999999999999</v>
      </c>
      <c r="AE394" s="28"/>
      <c r="AF394" s="28"/>
      <c r="AG394" s="28"/>
      <c r="AH394" s="28"/>
    </row>
    <row r="395" spans="1:36" s="25" customFormat="1" ht="20.25" customHeight="1" x14ac:dyDescent="0.45">
      <c r="A395" s="26"/>
      <c r="B395" s="28">
        <v>55</v>
      </c>
      <c r="H395" s="29"/>
      <c r="I395" s="27">
        <v>8.2059999999999995</v>
      </c>
      <c r="J395" s="27">
        <f>I396/I395</f>
        <v>0.41335608091640264</v>
      </c>
      <c r="L395" s="27">
        <v>55</v>
      </c>
      <c r="M395" s="29"/>
      <c r="N395" s="27">
        <v>7.9130000000000003</v>
      </c>
      <c r="O395" s="27">
        <f>N396/N395</f>
        <v>0.55819537469986091</v>
      </c>
      <c r="P395" s="29"/>
      <c r="Y395" s="25">
        <v>3</v>
      </c>
      <c r="Z395" s="25">
        <v>9.577</v>
      </c>
      <c r="AA395" s="25">
        <f>Z396/Z395</f>
        <v>0.33079252375482932</v>
      </c>
      <c r="AB395" s="28"/>
      <c r="AC395" s="25">
        <v>3</v>
      </c>
      <c r="AD395" s="25">
        <v>4.8460000000000001</v>
      </c>
      <c r="AE395" s="25">
        <f>AD396/AD395</f>
        <v>0.58254230293025178</v>
      </c>
      <c r="AF395" s="28"/>
      <c r="AG395" s="28"/>
      <c r="AH395" s="28"/>
    </row>
    <row r="396" spans="1:36" s="25" customFormat="1" ht="20.25" customHeight="1" x14ac:dyDescent="0.45">
      <c r="A396" s="26"/>
      <c r="B396" s="28">
        <v>56</v>
      </c>
      <c r="H396" s="29"/>
      <c r="I396" s="27">
        <v>3.3919999999999999</v>
      </c>
      <c r="J396" s="29"/>
      <c r="L396" s="27">
        <v>56</v>
      </c>
      <c r="M396" s="29"/>
      <c r="N396" s="27">
        <v>4.4169999999999998</v>
      </c>
      <c r="O396" s="29"/>
      <c r="P396" s="29"/>
      <c r="Y396" s="25">
        <v>4</v>
      </c>
      <c r="Z396" s="25">
        <v>3.1680000000000001</v>
      </c>
      <c r="AA396" s="28"/>
      <c r="AB396" s="28"/>
      <c r="AC396" s="25">
        <v>4</v>
      </c>
      <c r="AD396" s="25">
        <v>2.823</v>
      </c>
      <c r="AE396" s="28"/>
      <c r="AF396" s="28"/>
      <c r="AG396" s="28"/>
      <c r="AH396" s="28"/>
    </row>
    <row r="397" spans="1:36" s="25" customFormat="1" ht="20.25" customHeight="1" x14ac:dyDescent="0.45">
      <c r="A397" s="26"/>
      <c r="B397" s="28">
        <v>57</v>
      </c>
      <c r="H397" s="27">
        <v>101.154</v>
      </c>
      <c r="I397" s="29"/>
      <c r="J397" s="29"/>
      <c r="L397" s="27">
        <v>57</v>
      </c>
      <c r="M397" s="27">
        <v>79.468999999999994</v>
      </c>
      <c r="N397" s="29"/>
      <c r="O397" s="29"/>
      <c r="P397" s="29"/>
      <c r="Y397" s="25">
        <v>5</v>
      </c>
      <c r="Z397" s="25">
        <v>5.016</v>
      </c>
      <c r="AA397" s="25">
        <f>Z398/Z397</f>
        <v>0.94537480063795853</v>
      </c>
      <c r="AB397" s="28"/>
      <c r="AC397" s="25">
        <v>5</v>
      </c>
      <c r="AD397" s="25">
        <v>6.9119999999999999</v>
      </c>
      <c r="AE397" s="25">
        <f>AD398/AD397</f>
        <v>0.40407986111111116</v>
      </c>
      <c r="AF397" s="28"/>
      <c r="AG397" s="28"/>
      <c r="AH397" s="28"/>
    </row>
    <row r="398" spans="1:36" s="25" customFormat="1" ht="20.25" customHeight="1" x14ac:dyDescent="0.45">
      <c r="A398" s="26"/>
      <c r="B398" s="28">
        <v>58</v>
      </c>
      <c r="C398" s="29"/>
      <c r="D398" s="27">
        <v>11.085000000000001</v>
      </c>
      <c r="E398" s="27">
        <f>D399/D398</f>
        <v>0.46603518267929633</v>
      </c>
      <c r="H398" s="29"/>
      <c r="L398" s="27">
        <v>58</v>
      </c>
      <c r="M398" s="29"/>
      <c r="N398" s="27">
        <v>13.007</v>
      </c>
      <c r="O398" s="27">
        <f>N399/N398</f>
        <v>0.47097716614130858</v>
      </c>
      <c r="P398" s="29"/>
      <c r="Y398" s="25">
        <v>6</v>
      </c>
      <c r="Z398" s="25">
        <v>4.742</v>
      </c>
      <c r="AA398" s="28"/>
      <c r="AB398" s="28"/>
      <c r="AC398" s="25">
        <v>6</v>
      </c>
      <c r="AD398" s="25">
        <v>2.7930000000000001</v>
      </c>
      <c r="AE398" s="28"/>
      <c r="AF398" s="28"/>
      <c r="AG398" s="28"/>
      <c r="AH398" s="28"/>
    </row>
    <row r="399" spans="1:36" s="25" customFormat="1" ht="20.25" customHeight="1" x14ac:dyDescent="0.45">
      <c r="A399" s="26"/>
      <c r="B399" s="28">
        <v>59</v>
      </c>
      <c r="C399" s="29"/>
      <c r="D399" s="27">
        <v>5.1660000000000004</v>
      </c>
      <c r="E399" s="29"/>
      <c r="H399" s="29"/>
      <c r="L399" s="27">
        <v>59</v>
      </c>
      <c r="M399" s="29"/>
      <c r="N399" s="27">
        <v>6.1260000000000003</v>
      </c>
      <c r="O399" s="29"/>
      <c r="P399" s="29"/>
      <c r="Y399" s="25">
        <v>7</v>
      </c>
      <c r="Z399" s="25">
        <v>6.694</v>
      </c>
      <c r="AA399" s="25">
        <f>Z400/Z399</f>
        <v>0.92187033164027488</v>
      </c>
      <c r="AB399" s="28"/>
      <c r="AC399" s="25">
        <v>7</v>
      </c>
      <c r="AD399" s="25">
        <v>10.502000000000001</v>
      </c>
      <c r="AE399" s="25">
        <f>AD400/AD399</f>
        <v>0.39773376499714336</v>
      </c>
      <c r="AF399" s="28"/>
      <c r="AG399" s="28"/>
      <c r="AH399" s="28"/>
    </row>
    <row r="400" spans="1:36" s="25" customFormat="1" ht="20.25" customHeight="1" x14ac:dyDescent="0.45">
      <c r="A400" s="26"/>
      <c r="B400" s="28">
        <v>60</v>
      </c>
      <c r="C400" s="27">
        <v>55.701000000000001</v>
      </c>
      <c r="D400" s="29"/>
      <c r="E400" s="29"/>
      <c r="H400" s="29"/>
      <c r="L400" s="27">
        <v>60</v>
      </c>
      <c r="M400" s="27">
        <v>69.736999999999995</v>
      </c>
      <c r="N400" s="29"/>
      <c r="O400" s="29"/>
      <c r="P400" s="29"/>
      <c r="Y400" s="25">
        <v>8</v>
      </c>
      <c r="Z400" s="25">
        <v>6.1710000000000003</v>
      </c>
      <c r="AA400" s="28"/>
      <c r="AB400" s="28"/>
      <c r="AC400" s="25">
        <v>8</v>
      </c>
      <c r="AD400" s="25">
        <v>4.1769999999999996</v>
      </c>
      <c r="AE400" s="28"/>
      <c r="AF400" s="28"/>
      <c r="AG400" s="28"/>
      <c r="AH400" s="28"/>
    </row>
    <row r="401" spans="1:34" s="25" customFormat="1" ht="20.25" customHeight="1" x14ac:dyDescent="0.45">
      <c r="A401" s="26"/>
      <c r="B401" s="28">
        <v>61</v>
      </c>
      <c r="C401" s="29"/>
      <c r="D401" s="27">
        <v>11.823</v>
      </c>
      <c r="E401" s="27">
        <f>D402/D401</f>
        <v>0.46840903324029437</v>
      </c>
      <c r="H401" s="29"/>
      <c r="L401" s="27">
        <v>61</v>
      </c>
      <c r="N401" s="27"/>
      <c r="O401" s="29"/>
      <c r="P401" s="29"/>
      <c r="R401" s="29"/>
      <c r="S401" s="27">
        <v>9.6959999999999997</v>
      </c>
      <c r="T401" s="27">
        <f>S402/S401</f>
        <v>0.3347772277227723</v>
      </c>
      <c r="Y401" s="25">
        <v>9</v>
      </c>
      <c r="Z401" s="25">
        <v>5.944</v>
      </c>
      <c r="AA401" s="25">
        <f>Z402/Z401</f>
        <v>0.95895020188425306</v>
      </c>
      <c r="AB401" s="28"/>
      <c r="AC401" s="25">
        <v>9</v>
      </c>
      <c r="AD401" s="25">
        <v>9.2129999999999992</v>
      </c>
      <c r="AE401" s="25">
        <f>AD402/AD401</f>
        <v>0.34972321719309674</v>
      </c>
      <c r="AF401" s="28"/>
      <c r="AG401" s="28"/>
      <c r="AH401" s="28"/>
    </row>
    <row r="402" spans="1:34" s="25" customFormat="1" ht="20.25" customHeight="1" x14ac:dyDescent="0.45">
      <c r="A402" s="26"/>
      <c r="B402" s="28">
        <v>62</v>
      </c>
      <c r="C402" s="29"/>
      <c r="D402" s="27">
        <v>5.5380000000000003</v>
      </c>
      <c r="E402" s="29"/>
      <c r="H402" s="29"/>
      <c r="L402" s="27">
        <v>62</v>
      </c>
      <c r="N402" s="27"/>
      <c r="O402" s="29"/>
      <c r="P402" s="29"/>
      <c r="R402" s="29"/>
      <c r="S402" s="27">
        <v>3.246</v>
      </c>
      <c r="Y402" s="25">
        <v>10</v>
      </c>
      <c r="Z402" s="25">
        <v>5.7</v>
      </c>
      <c r="AA402" s="28"/>
      <c r="AB402" s="28"/>
      <c r="AC402" s="25">
        <v>10</v>
      </c>
      <c r="AD402" s="25">
        <v>3.222</v>
      </c>
      <c r="AE402" s="28"/>
      <c r="AF402" s="28"/>
      <c r="AG402" s="28"/>
      <c r="AH402" s="28"/>
    </row>
    <row r="403" spans="1:34" s="25" customFormat="1" ht="20.25" customHeight="1" x14ac:dyDescent="0.45">
      <c r="A403" s="26"/>
      <c r="B403" s="28">
        <v>63</v>
      </c>
      <c r="C403" s="27">
        <v>37.883000000000003</v>
      </c>
      <c r="D403" s="29"/>
      <c r="E403" s="29"/>
      <c r="H403" s="29"/>
      <c r="L403" s="27">
        <v>63</v>
      </c>
      <c r="N403" s="27"/>
      <c r="O403" s="29"/>
      <c r="P403" s="29"/>
      <c r="R403" s="27">
        <v>177.16300000000001</v>
      </c>
      <c r="S403" s="29"/>
      <c r="Y403" s="25">
        <v>11</v>
      </c>
      <c r="Z403" s="25">
        <v>7.452</v>
      </c>
      <c r="AA403" s="25">
        <f>Z404/Z403</f>
        <v>0.61849168008588296</v>
      </c>
      <c r="AB403" s="28"/>
      <c r="AC403" s="25">
        <v>11</v>
      </c>
      <c r="AD403" s="25">
        <v>4.9989999999999997</v>
      </c>
      <c r="AE403" s="25">
        <f>AD403/AD404</f>
        <v>0.96023818670764494</v>
      </c>
      <c r="AF403" s="28"/>
      <c r="AG403" s="28"/>
      <c r="AH403" s="28"/>
    </row>
    <row r="404" spans="1:34" s="25" customFormat="1" ht="20.25" customHeight="1" x14ac:dyDescent="0.45">
      <c r="A404" s="26"/>
      <c r="B404" s="28">
        <v>64</v>
      </c>
      <c r="C404" s="29"/>
      <c r="D404" s="27">
        <v>8.5779999999999994</v>
      </c>
      <c r="E404" s="27">
        <f>D405/D404</f>
        <v>0.67241781301002568</v>
      </c>
      <c r="H404" s="29"/>
      <c r="L404" s="27">
        <v>64</v>
      </c>
      <c r="N404" s="27"/>
      <c r="O404" s="29"/>
      <c r="P404" s="29"/>
      <c r="R404" s="29"/>
      <c r="S404" s="27">
        <v>8.1219999999999999</v>
      </c>
      <c r="T404" s="27">
        <f>S405/S404</f>
        <v>0.36973651809899044</v>
      </c>
      <c r="Y404" s="25">
        <v>12</v>
      </c>
      <c r="Z404" s="25">
        <v>4.609</v>
      </c>
      <c r="AA404" s="28"/>
      <c r="AB404" s="28"/>
      <c r="AC404" s="25">
        <v>12</v>
      </c>
      <c r="AD404" s="25">
        <v>5.2060000000000004</v>
      </c>
      <c r="AE404" s="28"/>
      <c r="AF404" s="28"/>
      <c r="AG404" s="28"/>
      <c r="AH404" s="28"/>
    </row>
    <row r="405" spans="1:34" s="25" customFormat="1" ht="20.25" customHeight="1" x14ac:dyDescent="0.45">
      <c r="A405" s="26"/>
      <c r="B405" s="28">
        <v>65</v>
      </c>
      <c r="C405" s="29"/>
      <c r="D405" s="27">
        <v>5.7679999999999998</v>
      </c>
      <c r="E405" s="29"/>
      <c r="H405" s="29"/>
      <c r="L405" s="27">
        <v>65</v>
      </c>
      <c r="N405" s="27"/>
      <c r="O405" s="29"/>
      <c r="P405" s="29"/>
      <c r="R405" s="29"/>
      <c r="S405" s="27">
        <v>3.0030000000000001</v>
      </c>
      <c r="Y405" s="25">
        <v>13</v>
      </c>
      <c r="Z405" s="25">
        <v>6.6840000000000002</v>
      </c>
      <c r="AA405" s="25">
        <f>Z406/Z405</f>
        <v>0.52707959305804908</v>
      </c>
      <c r="AB405" s="28"/>
      <c r="AC405" s="25">
        <v>13</v>
      </c>
      <c r="AD405" s="25">
        <v>10.765000000000001</v>
      </c>
      <c r="AE405" s="25">
        <f>AD406/AD405</f>
        <v>0.32094751509521596</v>
      </c>
      <c r="AF405" s="28"/>
      <c r="AG405" s="28"/>
      <c r="AH405" s="28"/>
    </row>
    <row r="406" spans="1:34" s="25" customFormat="1" ht="20.25" customHeight="1" x14ac:dyDescent="0.45">
      <c r="A406" s="26"/>
      <c r="B406" s="28">
        <v>66</v>
      </c>
      <c r="C406" s="27">
        <v>88.302000000000007</v>
      </c>
      <c r="D406" s="29"/>
      <c r="E406" s="29"/>
      <c r="H406" s="29"/>
      <c r="L406" s="27">
        <v>66</v>
      </c>
      <c r="N406" s="27"/>
      <c r="O406" s="29"/>
      <c r="P406" s="29"/>
      <c r="R406" s="27">
        <v>177.51</v>
      </c>
      <c r="S406" s="29"/>
      <c r="Y406" s="25">
        <v>14</v>
      </c>
      <c r="Z406" s="25">
        <v>3.5230000000000001</v>
      </c>
      <c r="AA406" s="28"/>
      <c r="AB406" s="28"/>
      <c r="AC406" s="25">
        <v>14</v>
      </c>
      <c r="AD406" s="25">
        <v>3.4550000000000001</v>
      </c>
      <c r="AE406" s="28"/>
      <c r="AF406" s="28"/>
      <c r="AG406" s="28"/>
      <c r="AH406" s="28"/>
    </row>
    <row r="407" spans="1:34" s="25" customFormat="1" ht="20.25" customHeight="1" x14ac:dyDescent="0.45">
      <c r="A407" s="26"/>
      <c r="B407" s="28">
        <v>67</v>
      </c>
      <c r="C407" s="29"/>
      <c r="D407" s="27">
        <v>10.295999999999999</v>
      </c>
      <c r="E407" s="27">
        <f>D408/D407</f>
        <v>0.58634421134421133</v>
      </c>
      <c r="H407" s="29"/>
      <c r="L407" s="27">
        <v>67</v>
      </c>
      <c r="N407" s="27"/>
      <c r="O407" s="29"/>
      <c r="P407" s="29"/>
      <c r="R407" s="29"/>
      <c r="S407" s="27">
        <v>9.8049999999999997</v>
      </c>
      <c r="T407" s="27">
        <f>S408/S407</f>
        <v>0.45599184089750128</v>
      </c>
      <c r="Y407" s="25">
        <v>15</v>
      </c>
      <c r="Z407" s="25">
        <v>6.0229999999999997</v>
      </c>
      <c r="AA407" s="25">
        <f>Z407/Z408</f>
        <v>0.56852935623938083</v>
      </c>
      <c r="AB407" s="28"/>
      <c r="AC407" s="25">
        <v>15</v>
      </c>
      <c r="AD407" s="25">
        <v>10.471</v>
      </c>
      <c r="AE407" s="25">
        <f>AD408/AD407</f>
        <v>0.26673670136567662</v>
      </c>
      <c r="AF407" s="28"/>
      <c r="AG407" s="28"/>
      <c r="AH407" s="28"/>
    </row>
    <row r="408" spans="1:34" s="25" customFormat="1" ht="20.25" customHeight="1" x14ac:dyDescent="0.45">
      <c r="A408" s="26"/>
      <c r="B408" s="28">
        <v>68</v>
      </c>
      <c r="C408" s="29"/>
      <c r="D408" s="27">
        <v>6.0369999999999999</v>
      </c>
      <c r="E408" s="29"/>
      <c r="H408" s="29"/>
      <c r="L408" s="27">
        <v>68</v>
      </c>
      <c r="N408" s="27"/>
      <c r="O408" s="29"/>
      <c r="P408" s="29"/>
      <c r="R408" s="29"/>
      <c r="S408" s="27">
        <v>4.4710000000000001</v>
      </c>
      <c r="Y408" s="25">
        <v>16</v>
      </c>
      <c r="Z408" s="25">
        <v>10.593999999999999</v>
      </c>
      <c r="AA408" s="28"/>
      <c r="AB408" s="28"/>
      <c r="AC408" s="25">
        <v>16</v>
      </c>
      <c r="AD408" s="25">
        <v>2.7930000000000001</v>
      </c>
      <c r="AE408" s="28"/>
      <c r="AF408" s="28"/>
      <c r="AG408" s="28"/>
      <c r="AH408" s="28"/>
    </row>
    <row r="409" spans="1:34" s="25" customFormat="1" ht="20.25" customHeight="1" x14ac:dyDescent="0.45">
      <c r="A409" s="26"/>
      <c r="B409" s="28">
        <v>69</v>
      </c>
      <c r="C409" s="27">
        <v>56.634</v>
      </c>
      <c r="D409" s="29"/>
      <c r="E409" s="29"/>
      <c r="H409" s="29"/>
      <c r="L409" s="27">
        <v>69</v>
      </c>
      <c r="N409" s="27"/>
      <c r="O409" s="29"/>
      <c r="P409" s="29"/>
      <c r="R409" s="27">
        <v>168.05600000000001</v>
      </c>
      <c r="S409" s="29"/>
      <c r="Y409" s="25">
        <v>17</v>
      </c>
      <c r="Z409" s="25">
        <v>5.8449999999999998</v>
      </c>
      <c r="AA409" s="25">
        <f>Z409/Z410</f>
        <v>0.84367782909930711</v>
      </c>
      <c r="AB409" s="28"/>
      <c r="AC409" s="25">
        <v>17</v>
      </c>
      <c r="AD409" s="25">
        <v>10.19</v>
      </c>
      <c r="AE409" s="25">
        <f>AD410/AD409</f>
        <v>0.38429833169774291</v>
      </c>
      <c r="AF409" s="28"/>
      <c r="AG409" s="28"/>
      <c r="AH409" s="28"/>
    </row>
    <row r="410" spans="1:34" s="25" customFormat="1" ht="20.25" customHeight="1" x14ac:dyDescent="0.45">
      <c r="A410" s="26"/>
      <c r="B410" s="28">
        <v>70</v>
      </c>
      <c r="H410" s="29"/>
      <c r="I410" s="27">
        <v>6.3140000000000001</v>
      </c>
      <c r="J410" s="27">
        <f>I411/I410</f>
        <v>0.87852391510928096</v>
      </c>
      <c r="L410" s="27">
        <v>70</v>
      </c>
      <c r="M410" s="29"/>
      <c r="N410" s="27">
        <v>12.206</v>
      </c>
      <c r="O410" s="27">
        <f>N411/N410</f>
        <v>0.36432901851548422</v>
      </c>
      <c r="P410" s="29"/>
      <c r="Y410" s="25">
        <v>18</v>
      </c>
      <c r="Z410" s="25">
        <v>6.9279999999999999</v>
      </c>
      <c r="AA410" s="28"/>
      <c r="AB410" s="28"/>
      <c r="AC410" s="25">
        <v>18</v>
      </c>
      <c r="AD410" s="25">
        <v>3.9159999999999999</v>
      </c>
      <c r="AE410" s="28"/>
      <c r="AF410" s="28"/>
      <c r="AG410" s="28"/>
      <c r="AH410" s="28"/>
    </row>
    <row r="411" spans="1:34" s="25" customFormat="1" ht="20.25" customHeight="1" x14ac:dyDescent="0.45">
      <c r="A411" s="26"/>
      <c r="B411" s="28">
        <v>71</v>
      </c>
      <c r="H411" s="29"/>
      <c r="I411" s="27">
        <v>5.5469999999999997</v>
      </c>
      <c r="J411" s="29"/>
      <c r="L411" s="27">
        <v>71</v>
      </c>
      <c r="M411" s="29"/>
      <c r="N411" s="27">
        <v>4.4470000000000001</v>
      </c>
      <c r="O411" s="29"/>
      <c r="P411" s="29"/>
      <c r="Y411" s="25">
        <v>19</v>
      </c>
      <c r="Z411" s="25">
        <v>6.6420000000000003</v>
      </c>
      <c r="AA411" s="25">
        <f>Z412/Z411</f>
        <v>0.62496236073471845</v>
      </c>
      <c r="AB411" s="28"/>
      <c r="AC411" s="25">
        <v>19</v>
      </c>
      <c r="AD411" s="25">
        <v>11.423999999999999</v>
      </c>
      <c r="AE411" s="25">
        <f>AD412/AD411</f>
        <v>0.50682773109243695</v>
      </c>
      <c r="AF411" s="28"/>
      <c r="AG411" s="28"/>
      <c r="AH411" s="28"/>
    </row>
    <row r="412" spans="1:34" s="25" customFormat="1" ht="20.25" customHeight="1" x14ac:dyDescent="0.45">
      <c r="A412" s="26"/>
      <c r="B412" s="28">
        <v>72</v>
      </c>
      <c r="H412" s="27">
        <v>124.205</v>
      </c>
      <c r="I412" s="29"/>
      <c r="J412" s="29"/>
      <c r="L412" s="27">
        <v>72</v>
      </c>
      <c r="M412" s="27">
        <v>81.620999999999995</v>
      </c>
      <c r="N412" s="29"/>
      <c r="O412" s="29"/>
      <c r="P412" s="29"/>
      <c r="Y412" s="25">
        <v>20</v>
      </c>
      <c r="Z412" s="25">
        <v>4.1509999999999998</v>
      </c>
      <c r="AA412" s="28"/>
      <c r="AB412" s="28"/>
      <c r="AC412" s="25">
        <v>20</v>
      </c>
      <c r="AD412" s="25">
        <v>5.79</v>
      </c>
      <c r="AE412" s="28"/>
      <c r="AF412" s="28"/>
      <c r="AG412" s="28"/>
      <c r="AH412" s="28"/>
    </row>
    <row r="413" spans="1:34" s="25" customFormat="1" ht="20.25" customHeight="1" x14ac:dyDescent="0.45">
      <c r="A413" s="26"/>
      <c r="B413" s="28">
        <v>73</v>
      </c>
      <c r="C413" s="29"/>
      <c r="D413" s="27">
        <v>5.4649999999999999</v>
      </c>
      <c r="E413" s="27">
        <f>D414/D413</f>
        <v>0.65946935041171095</v>
      </c>
      <c r="H413" s="29"/>
      <c r="L413" s="27">
        <v>73</v>
      </c>
      <c r="M413" s="29"/>
      <c r="N413" s="27">
        <v>8.5129999999999999</v>
      </c>
      <c r="O413" s="27">
        <f>N414/N413</f>
        <v>0.7091507106777869</v>
      </c>
      <c r="P413" s="29"/>
      <c r="AA413" s="25">
        <f>SUM(AA393:AA412)</f>
        <v>7.1822811307500523</v>
      </c>
      <c r="AE413" s="25">
        <f>SUM(AE393:AE412)</f>
        <v>4.8540179362590559</v>
      </c>
    </row>
    <row r="414" spans="1:34" s="25" customFormat="1" ht="20.25" customHeight="1" x14ac:dyDescent="0.45">
      <c r="A414" s="26"/>
      <c r="B414" s="28">
        <v>74</v>
      </c>
      <c r="C414" s="29"/>
      <c r="D414" s="27">
        <v>3.6040000000000001</v>
      </c>
      <c r="E414" s="29"/>
      <c r="H414" s="29"/>
      <c r="L414" s="27">
        <v>74</v>
      </c>
      <c r="M414" s="29"/>
      <c r="N414" s="27">
        <v>6.0369999999999999</v>
      </c>
      <c r="O414" s="29"/>
      <c r="P414" s="29"/>
    </row>
    <row r="415" spans="1:34" s="25" customFormat="1" ht="20.25" customHeight="1" x14ac:dyDescent="0.45">
      <c r="A415" s="26"/>
      <c r="B415" s="28">
        <v>75</v>
      </c>
      <c r="C415" s="27">
        <v>78.808000000000007</v>
      </c>
      <c r="D415" s="29"/>
      <c r="E415" s="29"/>
      <c r="H415" s="29"/>
      <c r="L415" s="27">
        <v>75</v>
      </c>
      <c r="M415" s="27">
        <v>15.441000000000001</v>
      </c>
      <c r="N415" s="29"/>
      <c r="O415" s="29"/>
      <c r="P415" s="29"/>
    </row>
    <row r="416" spans="1:34" s="25" customFormat="1" ht="20.25" customHeight="1" x14ac:dyDescent="0.45">
      <c r="A416" s="26"/>
      <c r="B416" s="28">
        <v>76</v>
      </c>
      <c r="C416" s="29"/>
      <c r="D416" s="27">
        <v>9.77</v>
      </c>
      <c r="E416" s="27">
        <f>D417/D416</f>
        <v>0.43039918116683729</v>
      </c>
      <c r="H416" s="29"/>
      <c r="L416" s="27">
        <v>76</v>
      </c>
      <c r="M416" s="29"/>
      <c r="N416" s="27">
        <v>8.2189999999999994</v>
      </c>
      <c r="O416" s="27">
        <f>N417/N416</f>
        <v>0.35138094658717606</v>
      </c>
      <c r="P416" s="29"/>
    </row>
    <row r="417" spans="1:40" s="25" customFormat="1" ht="20.25" customHeight="1" x14ac:dyDescent="0.45">
      <c r="A417" s="26"/>
      <c r="B417" s="28">
        <v>77</v>
      </c>
      <c r="C417" s="29"/>
      <c r="D417" s="27">
        <v>4.2050000000000001</v>
      </c>
      <c r="E417" s="29"/>
      <c r="H417" s="29"/>
      <c r="L417" s="27">
        <v>77</v>
      </c>
      <c r="M417" s="29"/>
      <c r="N417" s="27">
        <v>2.8879999999999999</v>
      </c>
      <c r="O417" s="29"/>
      <c r="P417" s="29"/>
    </row>
    <row r="418" spans="1:40" s="25" customFormat="1" ht="20.25" customHeight="1" x14ac:dyDescent="0.45">
      <c r="A418" s="26"/>
      <c r="B418" s="28">
        <v>78</v>
      </c>
      <c r="C418" s="27">
        <v>64.057000000000002</v>
      </c>
      <c r="D418" s="29"/>
      <c r="E418" s="29"/>
      <c r="H418" s="29"/>
      <c r="L418" s="27">
        <v>78</v>
      </c>
      <c r="M418" s="27">
        <v>87.155000000000001</v>
      </c>
      <c r="N418" s="29"/>
      <c r="O418" s="29"/>
      <c r="P418" s="29"/>
      <c r="Z418" s="25" t="s">
        <v>58</v>
      </c>
      <c r="AA418" s="25">
        <f>AA413+AA390+AA367+AA344+AA321+AA298+AA275+AA252+AA229+AA206+AA183+AA160+AA137+AA114+AA91+AA69+AA46+AA23</f>
        <v>116.15294906068365</v>
      </c>
      <c r="AE418" s="25">
        <f>AE413+AE390+AE367+AE344+AE321+AE298+AE275+AE252+AE229+AE206+AE183+AE160+AE137+AE114+AE91+AE69+AE46+AE23</f>
        <v>91.840116290381545</v>
      </c>
      <c r="AI418" s="25">
        <f>AI229+AI206+AI183+AI160+AI137+AI114+AI91+AI68+AI46+AI23</f>
        <v>63.262435161265167</v>
      </c>
      <c r="AM418" s="25">
        <f>AM229+AM206+AM183+AM160+AM137+AM114+AM91+AM68+AM46+AM23</f>
        <v>50.651100773103131</v>
      </c>
    </row>
    <row r="419" spans="1:40" s="25" customFormat="1" ht="20.25" customHeight="1" x14ac:dyDescent="0.45">
      <c r="A419" s="26"/>
      <c r="B419" s="28">
        <v>79</v>
      </c>
      <c r="H419" s="29"/>
      <c r="I419" s="27">
        <v>7.6929999999999996</v>
      </c>
      <c r="J419" s="27">
        <f>I420/I419</f>
        <v>0.49304562589366963</v>
      </c>
      <c r="L419" s="27">
        <v>79</v>
      </c>
      <c r="M419" s="29"/>
      <c r="N419" s="27">
        <v>5.7380000000000004</v>
      </c>
      <c r="O419" s="27">
        <f>N420/N419</f>
        <v>0.75670965493203191</v>
      </c>
      <c r="P419" s="29"/>
      <c r="AA419" s="25">
        <f>AA418/200</f>
        <v>0.58076474530341826</v>
      </c>
      <c r="AE419" s="25">
        <f>AE418/200</f>
        <v>0.45920058145190773</v>
      </c>
      <c r="AI419" s="25">
        <f>AI418/100</f>
        <v>0.63262435161265163</v>
      </c>
      <c r="AM419" s="25">
        <f>AM418/100</f>
        <v>0.5065110077310313</v>
      </c>
    </row>
    <row r="420" spans="1:40" s="25" customFormat="1" ht="20.25" customHeight="1" x14ac:dyDescent="0.45">
      <c r="A420" s="26"/>
      <c r="B420" s="28">
        <v>80</v>
      </c>
      <c r="H420" s="29"/>
      <c r="I420" s="27">
        <v>3.7930000000000001</v>
      </c>
      <c r="J420" s="29"/>
      <c r="L420" s="27">
        <v>80</v>
      </c>
      <c r="M420" s="29"/>
      <c r="N420" s="27">
        <v>4.3419999999999996</v>
      </c>
      <c r="O420" s="29"/>
      <c r="P420" s="29"/>
    </row>
    <row r="421" spans="1:40" s="25" customFormat="1" ht="20.25" customHeight="1" x14ac:dyDescent="0.45">
      <c r="A421" s="26"/>
      <c r="B421" s="28">
        <v>81</v>
      </c>
      <c r="H421" s="27">
        <v>102.74</v>
      </c>
      <c r="I421" s="29"/>
      <c r="J421" s="29"/>
      <c r="L421" s="27">
        <v>81</v>
      </c>
      <c r="M421" s="27">
        <v>69.566999999999993</v>
      </c>
      <c r="N421" s="29"/>
      <c r="O421" s="29"/>
      <c r="P421" s="29"/>
    </row>
    <row r="422" spans="1:40" s="25" customFormat="1" ht="20.25" customHeight="1" x14ac:dyDescent="0.45">
      <c r="A422" s="26"/>
      <c r="B422" s="28">
        <v>82</v>
      </c>
      <c r="H422" s="29"/>
      <c r="I422" s="27">
        <v>5.8109999999999999</v>
      </c>
      <c r="J422" s="27">
        <f>I423/I422</f>
        <v>0.92462570986060921</v>
      </c>
      <c r="L422" s="27">
        <v>82</v>
      </c>
      <c r="M422" s="29"/>
      <c r="N422" s="27">
        <v>10.06</v>
      </c>
      <c r="O422" s="27">
        <f>N423/N422</f>
        <v>0.42226640159045725</v>
      </c>
      <c r="P422" s="29"/>
    </row>
    <row r="423" spans="1:40" s="25" customFormat="1" ht="20.25" customHeight="1" x14ac:dyDescent="0.45">
      <c r="A423" s="26"/>
      <c r="B423" s="28">
        <v>83</v>
      </c>
      <c r="H423" s="29"/>
      <c r="I423" s="27">
        <v>5.3730000000000002</v>
      </c>
      <c r="J423" s="29"/>
      <c r="L423" s="27">
        <v>83</v>
      </c>
      <c r="M423" s="29"/>
      <c r="N423" s="27">
        <v>4.2480000000000002</v>
      </c>
      <c r="O423" s="29"/>
      <c r="P423" s="29"/>
      <c r="AC423" s="28"/>
    </row>
    <row r="424" spans="1:40" s="25" customFormat="1" ht="20.25" customHeight="1" x14ac:dyDescent="0.45">
      <c r="A424" s="26"/>
      <c r="B424" s="28">
        <v>84</v>
      </c>
      <c r="H424" s="27">
        <v>112.313</v>
      </c>
      <c r="I424" s="29"/>
      <c r="J424" s="29"/>
      <c r="L424" s="27">
        <v>84</v>
      </c>
      <c r="M424" s="27">
        <v>84.781000000000006</v>
      </c>
      <c r="N424" s="29"/>
      <c r="O424" s="29"/>
      <c r="P424" s="29"/>
    </row>
    <row r="425" spans="1:40" s="25" customFormat="1" ht="20.25" customHeight="1" x14ac:dyDescent="0.45">
      <c r="A425" s="26"/>
      <c r="B425" s="28">
        <v>85</v>
      </c>
      <c r="H425" s="29"/>
      <c r="I425" s="27">
        <v>7.8639999999999999</v>
      </c>
      <c r="J425" s="27">
        <f>I426/I425</f>
        <v>0.60821464903357081</v>
      </c>
      <c r="L425" s="27">
        <v>85</v>
      </c>
      <c r="M425" s="29"/>
      <c r="N425" s="27">
        <v>9.8140000000000001</v>
      </c>
      <c r="O425" s="27">
        <f>N426/N425</f>
        <v>0.448237212145914</v>
      </c>
      <c r="P425" s="29"/>
    </row>
    <row r="426" spans="1:40" s="25" customFormat="1" ht="20.25" customHeight="1" x14ac:dyDescent="0.45">
      <c r="A426" s="26"/>
      <c r="B426" s="28">
        <v>86</v>
      </c>
      <c r="H426" s="29"/>
      <c r="I426" s="27">
        <v>4.7830000000000004</v>
      </c>
      <c r="J426" s="29"/>
      <c r="L426" s="27">
        <v>86</v>
      </c>
      <c r="M426" s="29"/>
      <c r="N426" s="27">
        <v>4.399</v>
      </c>
      <c r="O426" s="29"/>
      <c r="P426" s="29"/>
      <c r="AB426" s="25">
        <v>0.4592</v>
      </c>
      <c r="AC426" s="25">
        <v>0.58069999999999999</v>
      </c>
    </row>
    <row r="427" spans="1:40" s="25" customFormat="1" ht="20.25" customHeight="1" x14ac:dyDescent="0.45">
      <c r="A427" s="26"/>
      <c r="B427" s="28">
        <v>87</v>
      </c>
      <c r="H427" s="27">
        <v>127.905</v>
      </c>
      <c r="I427" s="29"/>
      <c r="J427" s="29"/>
      <c r="L427" s="27">
        <v>87</v>
      </c>
      <c r="M427" s="27">
        <v>52.151000000000003</v>
      </c>
      <c r="N427" s="29"/>
      <c r="O427" s="29"/>
      <c r="P427" s="29"/>
      <c r="AB427" s="25">
        <v>0.50649999999999995</v>
      </c>
      <c r="AC427" s="25">
        <v>0.63260000000000005</v>
      </c>
      <c r="AL427" s="29"/>
      <c r="AM427" s="27">
        <f>(AE419/AM419)/2</f>
        <v>0.45329773138489571</v>
      </c>
      <c r="AN427" s="27">
        <f>(AA419+AI419)/2</f>
        <v>0.60669454845803494</v>
      </c>
    </row>
    <row r="428" spans="1:40" s="25" customFormat="1" ht="20.25" customHeight="1" x14ac:dyDescent="0.45">
      <c r="A428" s="26"/>
      <c r="B428" s="28">
        <v>88</v>
      </c>
      <c r="H428" s="29"/>
      <c r="I428" s="27">
        <v>13.481999999999999</v>
      </c>
      <c r="J428" s="27">
        <f>I429/I428</f>
        <v>0.35647530040053405</v>
      </c>
      <c r="L428" s="27">
        <v>88</v>
      </c>
      <c r="M428" s="29"/>
      <c r="N428" s="27">
        <v>10.797000000000001</v>
      </c>
      <c r="O428" s="27">
        <f>N429/N428</f>
        <v>0.39344262295081966</v>
      </c>
      <c r="P428" s="29"/>
    </row>
    <row r="429" spans="1:40" s="25" customFormat="1" ht="20.25" customHeight="1" x14ac:dyDescent="0.45">
      <c r="A429" s="26"/>
      <c r="B429" s="28">
        <v>89</v>
      </c>
      <c r="H429" s="29"/>
      <c r="I429" s="27">
        <v>4.806</v>
      </c>
      <c r="J429" s="29"/>
      <c r="L429" s="27">
        <v>89</v>
      </c>
      <c r="M429" s="29"/>
      <c r="N429" s="27">
        <v>4.2480000000000002</v>
      </c>
      <c r="O429" s="29"/>
      <c r="P429" s="29"/>
    </row>
    <row r="430" spans="1:40" s="25" customFormat="1" ht="20.25" customHeight="1" x14ac:dyDescent="0.45">
      <c r="A430" s="26"/>
      <c r="B430" s="28">
        <v>90</v>
      </c>
      <c r="H430" s="27">
        <v>138.34100000000001</v>
      </c>
      <c r="I430" s="29"/>
      <c r="J430" s="29"/>
      <c r="L430" s="27">
        <v>90</v>
      </c>
      <c r="M430" s="27">
        <v>87.27</v>
      </c>
      <c r="N430" s="29"/>
      <c r="O430" s="29"/>
      <c r="P430" s="29"/>
    </row>
    <row r="431" spans="1:40" s="25" customFormat="1" ht="20.25" customHeight="1" x14ac:dyDescent="0.45">
      <c r="A431" s="26"/>
      <c r="B431" s="28">
        <v>91</v>
      </c>
      <c r="H431" s="29"/>
      <c r="I431" s="27">
        <v>8.59</v>
      </c>
      <c r="J431" s="27">
        <f>I432/I431</f>
        <v>0.78137369033760185</v>
      </c>
      <c r="L431" s="27">
        <v>91</v>
      </c>
      <c r="M431" s="29"/>
      <c r="N431" s="27">
        <v>9.8030000000000008</v>
      </c>
      <c r="O431" s="27">
        <f>N432/N431</f>
        <v>0.38049576660206058</v>
      </c>
      <c r="P431" s="29"/>
    </row>
    <row r="432" spans="1:40" s="25" customFormat="1" ht="20.25" customHeight="1" x14ac:dyDescent="0.45">
      <c r="A432" s="26"/>
      <c r="B432" s="28">
        <v>92</v>
      </c>
      <c r="H432" s="29"/>
      <c r="I432" s="27">
        <v>6.7119999999999997</v>
      </c>
      <c r="J432" s="29"/>
      <c r="L432" s="27">
        <v>92</v>
      </c>
      <c r="M432" s="29"/>
      <c r="N432" s="27">
        <v>3.73</v>
      </c>
      <c r="O432" s="29"/>
      <c r="P432" s="29"/>
    </row>
    <row r="433" spans="1:43" s="25" customFormat="1" ht="20.25" customHeight="1" x14ac:dyDescent="0.45">
      <c r="A433" s="26"/>
      <c r="B433" s="28">
        <v>93</v>
      </c>
      <c r="H433" s="27">
        <v>95.593000000000004</v>
      </c>
      <c r="I433" s="29"/>
      <c r="J433" s="29"/>
      <c r="L433" s="27">
        <v>93</v>
      </c>
      <c r="M433" s="27">
        <v>79.087999999999994</v>
      </c>
      <c r="N433" s="29"/>
      <c r="O433" s="29"/>
      <c r="P433" s="29"/>
    </row>
    <row r="434" spans="1:43" s="25" customFormat="1" ht="20.25" customHeight="1" x14ac:dyDescent="0.45">
      <c r="A434" s="26"/>
      <c r="B434" s="28">
        <v>94</v>
      </c>
      <c r="C434" s="29"/>
      <c r="D434" s="27">
        <v>9.4600000000000009</v>
      </c>
      <c r="E434" s="27">
        <f>D435/D434</f>
        <v>0.40422832980972512</v>
      </c>
      <c r="H434" s="29"/>
      <c r="L434" s="27">
        <v>94</v>
      </c>
      <c r="M434" s="29"/>
      <c r="N434" s="27">
        <v>7.8970000000000002</v>
      </c>
      <c r="O434" s="27">
        <f>N435/N434</f>
        <v>0.75535013296188425</v>
      </c>
      <c r="P434" s="29"/>
    </row>
    <row r="435" spans="1:43" s="25" customFormat="1" ht="20.25" customHeight="1" x14ac:dyDescent="0.45">
      <c r="A435" s="26"/>
      <c r="B435" s="28">
        <v>95</v>
      </c>
      <c r="C435" s="29"/>
      <c r="D435" s="27">
        <v>3.8239999999999998</v>
      </c>
      <c r="E435" s="29"/>
      <c r="H435" s="29"/>
      <c r="L435" s="27">
        <v>95</v>
      </c>
      <c r="M435" s="29"/>
      <c r="N435" s="27">
        <v>5.9649999999999999</v>
      </c>
      <c r="O435" s="29"/>
      <c r="P435" s="29"/>
      <c r="Y435" s="25" t="s">
        <v>83</v>
      </c>
      <c r="Z435" s="27" t="s">
        <v>69</v>
      </c>
      <c r="AE435" s="27" t="s">
        <v>78</v>
      </c>
      <c r="AI435" s="25" t="s">
        <v>83</v>
      </c>
      <c r="AJ435" s="27" t="s">
        <v>69</v>
      </c>
      <c r="AO435" s="27" t="s">
        <v>78</v>
      </c>
    </row>
    <row r="436" spans="1:43" s="25" customFormat="1" ht="20.25" customHeight="1" x14ac:dyDescent="0.45">
      <c r="A436" s="26"/>
      <c r="B436" s="28">
        <v>96</v>
      </c>
      <c r="C436" s="27">
        <v>84.369</v>
      </c>
      <c r="D436" s="29"/>
      <c r="E436" s="29"/>
      <c r="H436" s="29"/>
      <c r="L436" s="27">
        <v>96</v>
      </c>
      <c r="M436" s="27">
        <v>73.040999999999997</v>
      </c>
      <c r="N436" s="29"/>
      <c r="O436" s="29"/>
      <c r="P436" s="29"/>
      <c r="Y436" s="25" t="s">
        <v>10</v>
      </c>
      <c r="AB436" s="27" t="s">
        <v>79</v>
      </c>
      <c r="AD436" s="29"/>
      <c r="AG436" s="27" t="s">
        <v>79</v>
      </c>
      <c r="AI436" s="25" t="s">
        <v>8</v>
      </c>
      <c r="AL436" s="27" t="s">
        <v>79</v>
      </c>
      <c r="AN436" s="29"/>
      <c r="AQ436" s="27" t="s">
        <v>79</v>
      </c>
    </row>
    <row r="437" spans="1:43" s="25" customFormat="1" ht="20.25" customHeight="1" x14ac:dyDescent="0.45">
      <c r="A437" s="26"/>
      <c r="B437" s="28">
        <v>97</v>
      </c>
      <c r="H437" s="29"/>
      <c r="I437" s="27">
        <v>8.3919999999999995</v>
      </c>
      <c r="J437" s="27">
        <f>I438/I437</f>
        <v>0.57006673021925647</v>
      </c>
      <c r="L437" s="27">
        <v>97</v>
      </c>
      <c r="M437" s="29"/>
      <c r="N437" s="27">
        <v>6.766</v>
      </c>
      <c r="O437" s="27">
        <f>N438/N437</f>
        <v>0.60611882944132423</v>
      </c>
      <c r="P437" s="29"/>
      <c r="Y437" s="27">
        <v>1</v>
      </c>
      <c r="Z437" s="29"/>
      <c r="AA437" s="27">
        <v>7.32</v>
      </c>
      <c r="AB437" s="27">
        <f>AA438/AA437</f>
        <v>0.48265027322404369</v>
      </c>
      <c r="AC437" s="29"/>
      <c r="AF437" s="29"/>
      <c r="AG437" s="29"/>
      <c r="AI437" s="27">
        <v>1</v>
      </c>
      <c r="AJ437" s="29"/>
      <c r="AK437" s="27">
        <v>10.039999999999999</v>
      </c>
      <c r="AL437" s="27">
        <f>AK438/AK437</f>
        <v>0.34840637450199208</v>
      </c>
      <c r="AM437" s="29"/>
    </row>
    <row r="438" spans="1:43" s="27" customFormat="1" ht="20.25" customHeight="1" x14ac:dyDescent="0.45">
      <c r="A438" s="26"/>
      <c r="B438" s="28">
        <v>98</v>
      </c>
      <c r="H438" s="29"/>
      <c r="I438" s="27">
        <v>4.7839999999999998</v>
      </c>
      <c r="J438" s="29"/>
      <c r="L438" s="27">
        <v>98</v>
      </c>
      <c r="M438" s="29"/>
      <c r="N438" s="27">
        <v>4.101</v>
      </c>
      <c r="O438" s="29"/>
      <c r="P438" s="29"/>
      <c r="Y438" s="27">
        <v>2</v>
      </c>
      <c r="Z438" s="29"/>
      <c r="AA438" s="27">
        <v>3.5329999999999999</v>
      </c>
      <c r="AB438" s="29"/>
      <c r="AC438" s="29"/>
      <c r="AF438" s="29"/>
      <c r="AI438" s="27">
        <v>2</v>
      </c>
      <c r="AJ438" s="29"/>
      <c r="AK438" s="27">
        <v>3.4980000000000002</v>
      </c>
      <c r="AL438" s="29"/>
      <c r="AM438" s="29"/>
    </row>
    <row r="439" spans="1:43" s="27" customFormat="1" ht="20.25" customHeight="1" x14ac:dyDescent="0.45">
      <c r="A439" s="26"/>
      <c r="B439" s="28">
        <v>99</v>
      </c>
      <c r="H439" s="27">
        <v>159.91499999999999</v>
      </c>
      <c r="I439" s="29"/>
      <c r="J439" s="29"/>
      <c r="L439" s="27">
        <v>99</v>
      </c>
      <c r="M439" s="27">
        <v>58.194000000000003</v>
      </c>
      <c r="N439" s="29"/>
      <c r="O439" s="29"/>
      <c r="P439" s="29"/>
      <c r="Y439" s="27">
        <v>3</v>
      </c>
      <c r="Z439" s="27">
        <v>87.451999999999998</v>
      </c>
      <c r="AA439" s="29"/>
      <c r="AB439" s="29"/>
      <c r="AC439" s="29"/>
      <c r="AF439" s="29"/>
      <c r="AI439" s="27">
        <v>3</v>
      </c>
      <c r="AJ439" s="27">
        <v>74.003</v>
      </c>
      <c r="AK439" s="29"/>
      <c r="AL439" s="29"/>
      <c r="AM439" s="29"/>
    </row>
    <row r="440" spans="1:43" s="27" customFormat="1" ht="20.25" customHeight="1" x14ac:dyDescent="0.45">
      <c r="A440" s="26"/>
      <c r="B440" s="28">
        <v>100</v>
      </c>
      <c r="H440" s="29"/>
      <c r="I440" s="27">
        <v>8.6980000000000004</v>
      </c>
      <c r="J440" s="27">
        <f>I441/I440</f>
        <v>0.50045987583352491</v>
      </c>
      <c r="L440" s="27">
        <v>100</v>
      </c>
      <c r="M440" s="29"/>
      <c r="N440" s="27">
        <v>9.4109999999999996</v>
      </c>
      <c r="O440" s="27">
        <f>N441/N440</f>
        <v>0.45669960684305605</v>
      </c>
      <c r="P440" s="29"/>
      <c r="Y440" s="27">
        <v>4</v>
      </c>
      <c r="Z440" s="29"/>
      <c r="AA440" s="27">
        <v>10.335000000000001</v>
      </c>
      <c r="AB440" s="27">
        <f>AA441/AA440</f>
        <v>0.32423802612481856</v>
      </c>
      <c r="AC440" s="29"/>
      <c r="AF440" s="29"/>
      <c r="AG440" s="29"/>
      <c r="AI440" s="27">
        <v>4</v>
      </c>
      <c r="AJ440" s="29"/>
      <c r="AK440" s="27">
        <v>9.4369999999999994</v>
      </c>
      <c r="AL440" s="27">
        <f>AK441/AK440</f>
        <v>0.32457348733707753</v>
      </c>
      <c r="AM440" s="29"/>
    </row>
    <row r="441" spans="1:43" s="27" customFormat="1" ht="20.25" customHeight="1" x14ac:dyDescent="0.45">
      <c r="A441" s="26"/>
      <c r="B441" s="28">
        <v>101</v>
      </c>
      <c r="H441" s="29"/>
      <c r="I441" s="27">
        <v>4.3529999999999998</v>
      </c>
      <c r="J441" s="29"/>
      <c r="L441" s="27">
        <v>101</v>
      </c>
      <c r="M441" s="29"/>
      <c r="N441" s="27">
        <v>4.298</v>
      </c>
      <c r="O441" s="29"/>
      <c r="P441" s="29"/>
      <c r="Y441" s="27">
        <v>5</v>
      </c>
      <c r="Z441" s="29"/>
      <c r="AA441" s="27">
        <v>3.351</v>
      </c>
      <c r="AB441" s="29"/>
      <c r="AC441" s="29"/>
      <c r="AF441" s="29"/>
      <c r="AI441" s="27">
        <v>5</v>
      </c>
      <c r="AJ441" s="29"/>
      <c r="AK441" s="27">
        <v>3.0630000000000002</v>
      </c>
      <c r="AL441" s="29"/>
      <c r="AM441" s="29"/>
    </row>
    <row r="442" spans="1:43" s="27" customFormat="1" ht="20.25" customHeight="1" x14ac:dyDescent="0.45">
      <c r="A442" s="26"/>
      <c r="B442" s="28">
        <v>102</v>
      </c>
      <c r="H442" s="27">
        <v>103.093</v>
      </c>
      <c r="I442" s="29"/>
      <c r="J442" s="29"/>
      <c r="L442" s="27">
        <v>102</v>
      </c>
      <c r="M442" s="27">
        <v>46.045000000000002</v>
      </c>
      <c r="N442" s="29"/>
      <c r="O442" s="29"/>
      <c r="P442" s="29"/>
      <c r="Y442" s="27">
        <v>6</v>
      </c>
      <c r="Z442" s="27">
        <v>62.572000000000003</v>
      </c>
      <c r="AA442" s="29"/>
      <c r="AB442" s="29"/>
      <c r="AC442" s="29"/>
      <c r="AF442" s="29"/>
      <c r="AI442" s="27">
        <v>6</v>
      </c>
      <c r="AJ442" s="27">
        <v>31.972000000000001</v>
      </c>
      <c r="AK442" s="29"/>
      <c r="AL442" s="29"/>
      <c r="AM442" s="29"/>
    </row>
    <row r="443" spans="1:43" s="27" customFormat="1" ht="20.25" customHeight="1" x14ac:dyDescent="0.45">
      <c r="A443" s="26"/>
      <c r="B443" s="28">
        <v>103</v>
      </c>
      <c r="H443" s="29"/>
      <c r="I443" s="27">
        <v>8.7029999999999994</v>
      </c>
      <c r="J443" s="27">
        <f>I444/I443</f>
        <v>0.45742847294036543</v>
      </c>
      <c r="L443" s="27">
        <v>103</v>
      </c>
      <c r="M443" s="29"/>
      <c r="N443" s="27">
        <v>9.7810000000000006</v>
      </c>
      <c r="O443" s="27">
        <f>N444/N443</f>
        <v>0.72630610367038129</v>
      </c>
      <c r="P443" s="29"/>
      <c r="Y443" s="27">
        <v>7</v>
      </c>
      <c r="AB443" s="29"/>
      <c r="AC443" s="29"/>
      <c r="AE443" s="29"/>
      <c r="AF443" s="27">
        <v>6.2220000000000004</v>
      </c>
      <c r="AG443" s="27">
        <f>AF444/AF443</f>
        <v>0.77611700417872054</v>
      </c>
      <c r="AI443" s="27">
        <v>7</v>
      </c>
      <c r="AL443" s="29"/>
      <c r="AM443" s="29"/>
      <c r="AO443" s="29"/>
      <c r="AP443" s="27">
        <v>6.3230000000000004</v>
      </c>
      <c r="AQ443" s="27">
        <f>AP444/AP443</f>
        <v>0.5935473667562865</v>
      </c>
    </row>
    <row r="444" spans="1:43" s="27" customFormat="1" ht="20.25" customHeight="1" x14ac:dyDescent="0.45">
      <c r="A444" s="26"/>
      <c r="B444" s="28">
        <v>104</v>
      </c>
      <c r="H444" s="29"/>
      <c r="I444" s="27">
        <v>3.9809999999999999</v>
      </c>
      <c r="J444" s="29"/>
      <c r="L444" s="27">
        <v>104</v>
      </c>
      <c r="M444" s="29"/>
      <c r="N444" s="27">
        <v>7.1040000000000001</v>
      </c>
      <c r="O444" s="29"/>
      <c r="P444" s="29"/>
      <c r="Y444" s="27">
        <v>8</v>
      </c>
      <c r="AB444" s="29"/>
      <c r="AC444" s="29"/>
      <c r="AE444" s="29"/>
      <c r="AF444" s="27">
        <v>4.8289999999999997</v>
      </c>
      <c r="AI444" s="27">
        <v>8</v>
      </c>
      <c r="AL444" s="29"/>
      <c r="AM444" s="29"/>
      <c r="AO444" s="29"/>
      <c r="AP444" s="27">
        <v>3.7530000000000001</v>
      </c>
    </row>
    <row r="445" spans="1:43" s="27" customFormat="1" ht="20.25" customHeight="1" x14ac:dyDescent="0.45">
      <c r="A445" s="26"/>
      <c r="B445" s="28">
        <v>105</v>
      </c>
      <c r="H445" s="27">
        <v>112.34399999999999</v>
      </c>
      <c r="I445" s="29"/>
      <c r="J445" s="29"/>
      <c r="L445" s="27">
        <v>105</v>
      </c>
      <c r="M445" s="27">
        <v>88.090999999999994</v>
      </c>
      <c r="N445" s="29"/>
      <c r="O445" s="29"/>
      <c r="P445" s="29"/>
      <c r="Y445" s="27">
        <v>9</v>
      </c>
      <c r="AB445" s="29"/>
      <c r="AC445" s="29"/>
      <c r="AE445" s="27">
        <v>173.71700000000001</v>
      </c>
      <c r="AF445" s="29"/>
      <c r="AI445" s="27">
        <v>9</v>
      </c>
      <c r="AL445" s="29"/>
      <c r="AM445" s="29"/>
      <c r="AO445" s="27">
        <v>150.535</v>
      </c>
      <c r="AP445" s="29"/>
    </row>
    <row r="446" spans="1:43" s="27" customFormat="1" ht="20.25" customHeight="1" x14ac:dyDescent="0.45">
      <c r="A446" s="26"/>
      <c r="B446" s="28">
        <v>106</v>
      </c>
      <c r="H446" s="29"/>
      <c r="I446" s="27">
        <v>7.3230000000000004</v>
      </c>
      <c r="J446" s="27">
        <f>I447/I446</f>
        <v>0.80103782602758422</v>
      </c>
      <c r="L446" s="27">
        <v>106</v>
      </c>
      <c r="O446" s="29"/>
      <c r="P446" s="29"/>
      <c r="R446" s="29"/>
      <c r="S446" s="27">
        <v>12.994999999999999</v>
      </c>
      <c r="T446" s="27">
        <f>S447/S446</f>
        <v>0.37268180069257406</v>
      </c>
      <c r="Y446" s="27">
        <v>10</v>
      </c>
      <c r="Z446" s="29"/>
      <c r="AA446" s="27">
        <v>7.78</v>
      </c>
      <c r="AB446" s="27">
        <f>AA447/AA446</f>
        <v>0.50578406169665813</v>
      </c>
      <c r="AC446" s="29"/>
      <c r="AI446" s="27">
        <v>10</v>
      </c>
      <c r="AJ446" s="29"/>
      <c r="AK446" s="27">
        <v>7.4470000000000001</v>
      </c>
      <c r="AL446" s="27">
        <f>AK447/AK446</f>
        <v>0.37102188800859404</v>
      </c>
      <c r="AM446" s="29"/>
    </row>
    <row r="447" spans="1:43" s="27" customFormat="1" ht="20.25" customHeight="1" x14ac:dyDescent="0.45">
      <c r="A447" s="26"/>
      <c r="B447" s="28">
        <v>107</v>
      </c>
      <c r="H447" s="29"/>
      <c r="I447" s="27">
        <v>5.8659999999999997</v>
      </c>
      <c r="J447" s="29"/>
      <c r="L447" s="27">
        <v>107</v>
      </c>
      <c r="O447" s="29"/>
      <c r="P447" s="29"/>
      <c r="R447" s="29"/>
      <c r="S447" s="27">
        <v>4.843</v>
      </c>
      <c r="Y447" s="27">
        <v>11</v>
      </c>
      <c r="Z447" s="29"/>
      <c r="AA447" s="27">
        <v>3.9350000000000001</v>
      </c>
      <c r="AB447" s="29"/>
      <c r="AC447" s="29"/>
      <c r="AI447" s="27">
        <v>11</v>
      </c>
      <c r="AJ447" s="29"/>
      <c r="AK447" s="27">
        <v>2.7629999999999999</v>
      </c>
      <c r="AL447" s="29"/>
      <c r="AM447" s="29"/>
    </row>
    <row r="448" spans="1:43" s="27" customFormat="1" ht="20.25" customHeight="1" x14ac:dyDescent="0.45">
      <c r="A448" s="26"/>
      <c r="B448" s="28">
        <v>108</v>
      </c>
      <c r="H448" s="27">
        <v>101.55800000000001</v>
      </c>
      <c r="I448" s="29"/>
      <c r="J448" s="29"/>
      <c r="L448" s="27">
        <v>108</v>
      </c>
      <c r="O448" s="29"/>
      <c r="P448" s="29"/>
      <c r="R448" s="27">
        <v>151.02199999999999</v>
      </c>
      <c r="S448" s="29"/>
      <c r="Y448" s="27">
        <v>12</v>
      </c>
      <c r="Z448" s="27">
        <v>16.963000000000001</v>
      </c>
      <c r="AA448" s="29"/>
      <c r="AB448" s="29"/>
      <c r="AC448" s="29"/>
      <c r="AI448" s="27">
        <v>12</v>
      </c>
      <c r="AJ448" s="27">
        <v>31.419</v>
      </c>
      <c r="AK448" s="29"/>
      <c r="AL448" s="29"/>
      <c r="AM448" s="29"/>
    </row>
    <row r="449" spans="1:39" s="27" customFormat="1" ht="20.25" customHeight="1" x14ac:dyDescent="0.45">
      <c r="A449" s="26"/>
      <c r="B449" s="28">
        <v>109</v>
      </c>
      <c r="C449" s="29"/>
      <c r="D449" s="27">
        <v>11.148999999999999</v>
      </c>
      <c r="E449" s="27">
        <f>D450/D449</f>
        <v>0.46981792088976598</v>
      </c>
      <c r="H449" s="29"/>
      <c r="L449" s="27">
        <v>109</v>
      </c>
      <c r="O449" s="29"/>
      <c r="P449" s="29"/>
      <c r="R449" s="29"/>
      <c r="S449" s="27">
        <v>8.8000000000000007</v>
      </c>
      <c r="T449" s="27">
        <f>S450/S449</f>
        <v>0.39045454545454544</v>
      </c>
      <c r="Y449" s="27">
        <v>13</v>
      </c>
      <c r="Z449" s="29"/>
      <c r="AA449" s="27">
        <v>8.4130000000000003</v>
      </c>
      <c r="AB449" s="27">
        <f>AA450/AA449</f>
        <v>0.55770830857007014</v>
      </c>
      <c r="AC449" s="29"/>
      <c r="AI449" s="27">
        <v>13</v>
      </c>
      <c r="AJ449" s="29"/>
      <c r="AK449" s="27">
        <v>8.6739999999999995</v>
      </c>
      <c r="AL449" s="27">
        <f>AK450/AK449</f>
        <v>0.47106294673737614</v>
      </c>
      <c r="AM449" s="29"/>
    </row>
    <row r="450" spans="1:39" s="27" customFormat="1" ht="20.25" customHeight="1" x14ac:dyDescent="0.45">
      <c r="A450" s="26"/>
      <c r="B450" s="28">
        <v>110</v>
      </c>
      <c r="C450" s="29"/>
      <c r="D450" s="27">
        <v>5.2380000000000004</v>
      </c>
      <c r="E450" s="29"/>
      <c r="H450" s="29"/>
      <c r="L450" s="27">
        <v>110</v>
      </c>
      <c r="O450" s="29"/>
      <c r="P450" s="29"/>
      <c r="R450" s="29"/>
      <c r="S450" s="27">
        <v>3.4359999999999999</v>
      </c>
      <c r="Y450" s="27">
        <v>14</v>
      </c>
      <c r="Z450" s="29"/>
      <c r="AA450" s="27">
        <v>4.6920000000000002</v>
      </c>
      <c r="AB450" s="29"/>
      <c r="AC450" s="29"/>
      <c r="AI450" s="27">
        <v>14</v>
      </c>
      <c r="AJ450" s="29"/>
      <c r="AK450" s="27">
        <v>4.0860000000000003</v>
      </c>
      <c r="AL450" s="29"/>
      <c r="AM450" s="29"/>
    </row>
    <row r="451" spans="1:39" s="27" customFormat="1" ht="20.25" customHeight="1" x14ac:dyDescent="0.45">
      <c r="A451" s="26"/>
      <c r="B451" s="28">
        <v>111</v>
      </c>
      <c r="C451" s="27">
        <v>31.905000000000001</v>
      </c>
      <c r="D451" s="29"/>
      <c r="E451" s="29"/>
      <c r="H451" s="29"/>
      <c r="L451" s="27">
        <v>111</v>
      </c>
      <c r="O451" s="29"/>
      <c r="P451" s="29"/>
      <c r="R451" s="27">
        <v>103.211</v>
      </c>
      <c r="S451" s="29"/>
      <c r="Y451" s="27">
        <v>15</v>
      </c>
      <c r="Z451" s="27">
        <v>82.626999999999995</v>
      </c>
      <c r="AA451" s="29"/>
      <c r="AB451" s="29"/>
      <c r="AC451" s="29"/>
      <c r="AI451" s="27">
        <v>15</v>
      </c>
      <c r="AJ451" s="27">
        <v>77.462999999999994</v>
      </c>
      <c r="AK451" s="29"/>
      <c r="AL451" s="29"/>
      <c r="AM451" s="29"/>
    </row>
    <row r="452" spans="1:39" s="27" customFormat="1" ht="20.25" customHeight="1" x14ac:dyDescent="0.45">
      <c r="A452" s="26"/>
      <c r="B452" s="28">
        <v>112</v>
      </c>
      <c r="C452" s="29"/>
      <c r="D452" s="27">
        <v>9.5389999999999997</v>
      </c>
      <c r="E452" s="27">
        <f>D453/D452</f>
        <v>0.4364189118356222</v>
      </c>
      <c r="H452" s="29"/>
      <c r="L452" s="27">
        <v>112</v>
      </c>
      <c r="M452" s="29"/>
      <c r="N452" s="27">
        <v>10.749000000000001</v>
      </c>
      <c r="O452" s="27">
        <f>N453/N452</f>
        <v>0.5049772071820634</v>
      </c>
      <c r="P452" s="29"/>
      <c r="Y452" s="27">
        <v>16</v>
      </c>
      <c r="AB452" s="29"/>
      <c r="AC452" s="29"/>
      <c r="AE452" s="29"/>
      <c r="AF452" s="27">
        <v>6.234</v>
      </c>
      <c r="AG452" s="27">
        <f>AF453/AF452</f>
        <v>0.67773500160410649</v>
      </c>
      <c r="AI452" s="27">
        <v>16</v>
      </c>
      <c r="AJ452" s="29"/>
      <c r="AK452" s="27">
        <v>5.8280000000000003</v>
      </c>
      <c r="AL452" s="27">
        <f>AK453/AK452</f>
        <v>0.97992450240219631</v>
      </c>
      <c r="AM452" s="29"/>
    </row>
    <row r="453" spans="1:39" s="27" customFormat="1" ht="20.25" customHeight="1" x14ac:dyDescent="0.45">
      <c r="A453" s="26"/>
      <c r="B453" s="28">
        <v>113</v>
      </c>
      <c r="C453" s="29"/>
      <c r="D453" s="27">
        <v>4.1630000000000003</v>
      </c>
      <c r="E453" s="29"/>
      <c r="H453" s="29"/>
      <c r="L453" s="27">
        <v>113</v>
      </c>
      <c r="M453" s="29"/>
      <c r="N453" s="27">
        <v>5.4279999999999999</v>
      </c>
      <c r="O453" s="29"/>
      <c r="P453" s="29"/>
      <c r="Y453" s="27">
        <v>17</v>
      </c>
      <c r="AB453" s="29"/>
      <c r="AC453" s="29"/>
      <c r="AE453" s="29"/>
      <c r="AF453" s="27">
        <v>4.2249999999999996</v>
      </c>
      <c r="AI453" s="27">
        <v>17</v>
      </c>
      <c r="AJ453" s="29"/>
      <c r="AK453" s="27">
        <v>5.7110000000000003</v>
      </c>
      <c r="AL453" s="29"/>
      <c r="AM453" s="29"/>
    </row>
    <row r="454" spans="1:39" s="27" customFormat="1" ht="20.25" customHeight="1" x14ac:dyDescent="0.45">
      <c r="A454" s="26"/>
      <c r="B454" s="28">
        <v>114</v>
      </c>
      <c r="C454" s="27">
        <v>60.777000000000001</v>
      </c>
      <c r="D454" s="29"/>
      <c r="E454" s="29"/>
      <c r="H454" s="29"/>
      <c r="L454" s="27">
        <v>114</v>
      </c>
      <c r="M454" s="27">
        <v>69.98</v>
      </c>
      <c r="N454" s="29"/>
      <c r="O454" s="29"/>
      <c r="P454" s="29"/>
      <c r="Y454" s="27">
        <v>18</v>
      </c>
      <c r="AB454" s="29"/>
      <c r="AC454" s="29"/>
      <c r="AE454" s="27">
        <v>114.68899999999999</v>
      </c>
      <c r="AF454" s="29"/>
      <c r="AI454" s="27">
        <v>18</v>
      </c>
      <c r="AJ454" s="27">
        <v>85.942999999999998</v>
      </c>
      <c r="AK454" s="29"/>
      <c r="AL454" s="29"/>
      <c r="AM454" s="29"/>
    </row>
    <row r="455" spans="1:39" s="27" customFormat="1" ht="20.25" customHeight="1" x14ac:dyDescent="0.45">
      <c r="A455" s="26"/>
      <c r="B455" s="28"/>
      <c r="C455" s="27">
        <f>C454+C451+C436+C418+C415+C409+C406+C403+C400+C385+C373+C370+C361+C355+C352+C349+C343</f>
        <v>1094.8680000000002</v>
      </c>
      <c r="E455" s="27">
        <f>E452+E449+E434+E416+E413+E407+E404+E401+E398+E383+E371+E368+E359+E353+E350+E347+E341</f>
        <v>9.0936806904230281</v>
      </c>
      <c r="H455" s="27">
        <f>H448+H445+H442+H439+H433+H430+H427+H424+H421+H412+H397+H394+H391+H388+H382+H379+H376+H367+H364+H358+H346-(90*21)</f>
        <v>797.04600000000028</v>
      </c>
      <c r="J455" s="27">
        <f>J446+J443+J440+J437+J431+J428+J425+J422+J419+J410+J395+J392+J389+J386+J380+J377+J374+J365+J362+J356+J344</f>
        <v>12.703240466532561</v>
      </c>
      <c r="L455" s="27">
        <v>115</v>
      </c>
      <c r="M455" s="29"/>
      <c r="N455" s="27">
        <v>9.7959999999999994</v>
      </c>
      <c r="O455" s="27">
        <f>N456/N455</f>
        <v>0.82452021233156392</v>
      </c>
      <c r="P455" s="29"/>
      <c r="Y455" s="27">
        <v>19</v>
      </c>
      <c r="Z455" s="29"/>
      <c r="AA455" s="27">
        <v>8.5640000000000001</v>
      </c>
      <c r="AB455" s="27">
        <f>AA456/AA455</f>
        <v>0.59002802428771606</v>
      </c>
      <c r="AC455" s="29"/>
      <c r="AI455" s="27">
        <v>19</v>
      </c>
      <c r="AJ455" s="29"/>
      <c r="AK455" s="27">
        <v>9.0489999999999995</v>
      </c>
      <c r="AL455" s="27">
        <f>AK456/AK455</f>
        <v>0.62493093159465141</v>
      </c>
      <c r="AM455" s="29"/>
    </row>
    <row r="456" spans="1:39" s="27" customFormat="1" ht="20.25" customHeight="1" x14ac:dyDescent="0.45">
      <c r="A456" s="26"/>
      <c r="B456" s="28"/>
      <c r="C456" s="27">
        <f>C455/17</f>
        <v>64.404000000000011</v>
      </c>
      <c r="E456" s="27">
        <f>E455/17</f>
        <v>0.53492239355429572</v>
      </c>
      <c r="H456" s="27">
        <f>H455/21</f>
        <v>37.954571428571441</v>
      </c>
      <c r="J456" s="27">
        <f>J455/21</f>
        <v>0.60491621269202667</v>
      </c>
      <c r="L456" s="27">
        <v>116</v>
      </c>
      <c r="M456" s="29"/>
      <c r="N456" s="27">
        <v>8.077</v>
      </c>
      <c r="O456" s="29"/>
      <c r="P456" s="29"/>
      <c r="Y456" s="27">
        <v>20</v>
      </c>
      <c r="Z456" s="29"/>
      <c r="AA456" s="27">
        <v>5.0529999999999999</v>
      </c>
      <c r="AB456" s="29"/>
      <c r="AC456" s="29"/>
      <c r="AI456" s="27">
        <v>20</v>
      </c>
      <c r="AJ456" s="29"/>
      <c r="AK456" s="27">
        <v>5.6550000000000002</v>
      </c>
      <c r="AL456" s="29"/>
      <c r="AM456" s="29"/>
    </row>
    <row r="457" spans="1:39" s="27" customFormat="1" ht="20.25" customHeight="1" x14ac:dyDescent="0.45">
      <c r="A457" s="26"/>
      <c r="B457" s="28"/>
      <c r="L457" s="27">
        <v>117</v>
      </c>
      <c r="M457" s="27">
        <v>77.774000000000001</v>
      </c>
      <c r="N457" s="29"/>
      <c r="O457" s="29"/>
      <c r="P457" s="29"/>
      <c r="Y457" s="27">
        <v>21</v>
      </c>
      <c r="Z457" s="27">
        <v>81.884</v>
      </c>
      <c r="AA457" s="29"/>
      <c r="AB457" s="29"/>
      <c r="AC457" s="29"/>
      <c r="AI457" s="27">
        <v>21</v>
      </c>
      <c r="AJ457" s="27">
        <v>26.356999999999999</v>
      </c>
      <c r="AK457" s="29"/>
      <c r="AL457" s="29"/>
      <c r="AM457" s="29"/>
    </row>
    <row r="458" spans="1:39" s="27" customFormat="1" ht="20.25" customHeight="1" x14ac:dyDescent="0.45">
      <c r="A458" s="26"/>
      <c r="B458" s="28"/>
      <c r="G458" s="29"/>
      <c r="H458" s="27">
        <f>H456/C456*100</f>
        <v>58.932009546878191</v>
      </c>
      <c r="I458" s="29"/>
      <c r="J458" s="27">
        <f>J456/E456*100</f>
        <v>113.08485492122632</v>
      </c>
      <c r="L458" s="27">
        <v>118</v>
      </c>
      <c r="O458" s="29"/>
      <c r="P458" s="29"/>
      <c r="R458" s="29"/>
      <c r="S458" s="27">
        <v>11.654</v>
      </c>
      <c r="T458" s="27">
        <f>S459/S458</f>
        <v>0.34022653166294836</v>
      </c>
      <c r="Y458" s="27">
        <v>22</v>
      </c>
      <c r="Z458" s="29"/>
      <c r="AA458" s="27">
        <v>6.0460000000000003</v>
      </c>
      <c r="AB458" s="27">
        <f>AA459/AA458</f>
        <v>0.67234535229904069</v>
      </c>
      <c r="AC458" s="29"/>
      <c r="AI458" s="27">
        <v>22</v>
      </c>
      <c r="AJ458" s="29"/>
      <c r="AK458" s="27">
        <v>10.885</v>
      </c>
      <c r="AL458" s="27">
        <f>AK459/AK458</f>
        <v>0.3930179145613229</v>
      </c>
      <c r="AM458" s="29"/>
    </row>
    <row r="459" spans="1:39" s="27" customFormat="1" ht="20.25" customHeight="1" x14ac:dyDescent="0.45">
      <c r="A459" s="26"/>
      <c r="B459" s="28"/>
      <c r="L459" s="27">
        <v>119</v>
      </c>
      <c r="O459" s="29"/>
      <c r="P459" s="29"/>
      <c r="R459" s="29"/>
      <c r="S459" s="27">
        <v>3.9649999999999999</v>
      </c>
      <c r="Y459" s="27">
        <v>23</v>
      </c>
      <c r="Z459" s="29"/>
      <c r="AA459" s="27">
        <v>4.0650000000000004</v>
      </c>
      <c r="AB459" s="29"/>
      <c r="AC459" s="29"/>
      <c r="AI459" s="27">
        <v>23</v>
      </c>
      <c r="AJ459" s="29"/>
      <c r="AK459" s="27">
        <v>4.2779999999999996</v>
      </c>
      <c r="AL459" s="29"/>
      <c r="AM459" s="29"/>
    </row>
    <row r="460" spans="1:39" s="27" customFormat="1" ht="20.25" customHeight="1" x14ac:dyDescent="0.45">
      <c r="A460" s="26"/>
      <c r="B460" s="28"/>
      <c r="L460" s="27">
        <v>120</v>
      </c>
      <c r="O460" s="29"/>
      <c r="P460" s="29"/>
      <c r="R460" s="27">
        <v>135.25899999999999</v>
      </c>
      <c r="S460" s="29"/>
      <c r="Y460" s="27">
        <v>24</v>
      </c>
      <c r="Z460" s="27">
        <v>73.790999999999997</v>
      </c>
      <c r="AA460" s="29"/>
      <c r="AB460" s="29"/>
      <c r="AC460" s="29"/>
      <c r="AI460" s="27">
        <v>24</v>
      </c>
      <c r="AJ460" s="27">
        <v>87.823999999999998</v>
      </c>
      <c r="AK460" s="29"/>
      <c r="AL460" s="29"/>
      <c r="AM460" s="29"/>
    </row>
    <row r="461" spans="1:39" s="27" customFormat="1" ht="20.25" customHeight="1" x14ac:dyDescent="0.45">
      <c r="A461" s="26"/>
      <c r="B461" s="28"/>
      <c r="L461" s="27">
        <v>121</v>
      </c>
      <c r="M461" s="29"/>
      <c r="N461" s="27">
        <v>10.477</v>
      </c>
      <c r="O461" s="27">
        <f>N462/N461</f>
        <v>0.51713276701345801</v>
      </c>
      <c r="P461" s="29"/>
      <c r="Y461" s="27">
        <v>25</v>
      </c>
      <c r="Z461" s="29"/>
      <c r="AA461" s="27">
        <v>6.6260000000000003</v>
      </c>
      <c r="AB461" s="27">
        <f>AA462/AA461</f>
        <v>0.67386054935104134</v>
      </c>
      <c r="AC461" s="29"/>
      <c r="AI461" s="27">
        <v>25</v>
      </c>
      <c r="AJ461" s="29"/>
      <c r="AK461" s="27">
        <v>10.069000000000001</v>
      </c>
      <c r="AL461" s="27">
        <f>AK462/AK461</f>
        <v>0.26487238057403911</v>
      </c>
      <c r="AM461" s="29"/>
    </row>
    <row r="462" spans="1:39" s="27" customFormat="1" ht="20.25" customHeight="1" x14ac:dyDescent="0.45">
      <c r="A462" s="26"/>
      <c r="B462" s="28"/>
      <c r="L462" s="27">
        <v>122</v>
      </c>
      <c r="M462" s="29"/>
      <c r="N462" s="27">
        <v>5.4180000000000001</v>
      </c>
      <c r="O462" s="29"/>
      <c r="P462" s="29"/>
      <c r="Y462" s="27">
        <v>26</v>
      </c>
      <c r="Z462" s="29"/>
      <c r="AA462" s="27">
        <v>4.4649999999999999</v>
      </c>
      <c r="AB462" s="29"/>
      <c r="AC462" s="29"/>
      <c r="AI462" s="27">
        <v>26</v>
      </c>
      <c r="AJ462" s="29"/>
      <c r="AK462" s="27">
        <v>2.6669999999999998</v>
      </c>
      <c r="AL462" s="29"/>
      <c r="AM462" s="29"/>
    </row>
    <row r="463" spans="1:39" s="27" customFormat="1" ht="20.25" customHeight="1" x14ac:dyDescent="0.45">
      <c r="A463" s="26"/>
      <c r="B463" s="28"/>
      <c r="L463" s="27">
        <v>123</v>
      </c>
      <c r="M463" s="27">
        <v>56.286999999999999</v>
      </c>
      <c r="N463" s="29"/>
      <c r="O463" s="29"/>
      <c r="P463" s="29"/>
      <c r="Y463" s="27">
        <v>27</v>
      </c>
      <c r="Z463" s="27">
        <v>59.491</v>
      </c>
      <c r="AA463" s="29"/>
      <c r="AB463" s="29"/>
      <c r="AC463" s="29"/>
      <c r="AI463" s="27">
        <v>27</v>
      </c>
      <c r="AJ463" s="27">
        <v>87.209000000000003</v>
      </c>
      <c r="AK463" s="29"/>
      <c r="AL463" s="29"/>
      <c r="AM463" s="29"/>
    </row>
    <row r="464" spans="1:39" s="27" customFormat="1" ht="20.25" customHeight="1" x14ac:dyDescent="0.45">
      <c r="A464" s="26"/>
      <c r="B464" s="28"/>
      <c r="L464" s="27">
        <v>124</v>
      </c>
      <c r="O464" s="29"/>
      <c r="P464" s="29"/>
      <c r="R464" s="29"/>
      <c r="S464" s="27">
        <v>8.9770000000000003</v>
      </c>
      <c r="T464" s="27">
        <f>S465/S464</f>
        <v>0.5196613568007129</v>
      </c>
      <c r="Y464" s="27">
        <v>28</v>
      </c>
      <c r="Z464" s="29"/>
      <c r="AA464" s="27">
        <v>5.7770000000000001</v>
      </c>
      <c r="AB464" s="27">
        <f>AA465/AA464</f>
        <v>0.72182793837631987</v>
      </c>
      <c r="AC464" s="29"/>
      <c r="AI464" s="27">
        <v>28</v>
      </c>
      <c r="AJ464" s="29"/>
      <c r="AK464" s="27">
        <v>10.265000000000001</v>
      </c>
      <c r="AL464" s="27">
        <f>AK465/AK464</f>
        <v>0.36054554310764736</v>
      </c>
      <c r="AM464" s="29"/>
    </row>
    <row r="465" spans="1:43" s="27" customFormat="1" ht="20.25" customHeight="1" x14ac:dyDescent="0.45">
      <c r="A465" s="26"/>
      <c r="B465" s="28"/>
      <c r="L465" s="27">
        <v>125</v>
      </c>
      <c r="O465" s="29"/>
      <c r="P465" s="29"/>
      <c r="R465" s="29"/>
      <c r="S465" s="27">
        <v>4.665</v>
      </c>
      <c r="Y465" s="27">
        <v>29</v>
      </c>
      <c r="Z465" s="29"/>
      <c r="AA465" s="27">
        <v>4.17</v>
      </c>
      <c r="AB465" s="29"/>
      <c r="AC465" s="29"/>
      <c r="AI465" s="27">
        <v>29</v>
      </c>
      <c r="AJ465" s="29"/>
      <c r="AK465" s="27">
        <v>3.7010000000000001</v>
      </c>
      <c r="AL465" s="29"/>
      <c r="AM465" s="29"/>
    </row>
    <row r="466" spans="1:43" s="27" customFormat="1" ht="20.25" customHeight="1" x14ac:dyDescent="0.45">
      <c r="A466" s="26"/>
      <c r="B466" s="28"/>
      <c r="L466" s="27">
        <v>126</v>
      </c>
      <c r="O466" s="29"/>
      <c r="P466" s="29"/>
      <c r="R466" s="27">
        <v>176.51</v>
      </c>
      <c r="S466" s="29"/>
      <c r="Y466" s="27">
        <v>30</v>
      </c>
      <c r="Z466" s="27">
        <v>13.384</v>
      </c>
      <c r="AA466" s="29"/>
      <c r="AB466" s="29"/>
      <c r="AC466" s="29"/>
      <c r="AI466" s="27">
        <v>30</v>
      </c>
      <c r="AJ466" s="27">
        <v>71.480999999999995</v>
      </c>
      <c r="AK466" s="29"/>
      <c r="AL466" s="29"/>
      <c r="AM466" s="29"/>
    </row>
    <row r="467" spans="1:43" s="27" customFormat="1" ht="20.25" customHeight="1" x14ac:dyDescent="0.45">
      <c r="A467" s="26"/>
      <c r="B467" s="28"/>
      <c r="L467" s="27">
        <v>127</v>
      </c>
      <c r="M467" s="29"/>
      <c r="N467" s="27">
        <v>13.56</v>
      </c>
      <c r="O467" s="27">
        <f>N468/N467</f>
        <v>0.38053097345132741</v>
      </c>
      <c r="P467" s="29"/>
      <c r="Y467" s="27">
        <v>31</v>
      </c>
      <c r="AB467" s="29"/>
      <c r="AC467" s="29"/>
      <c r="AE467" s="29"/>
      <c r="AF467" s="27">
        <v>7.835</v>
      </c>
      <c r="AG467" s="27">
        <f>AF468/AF467</f>
        <v>0.50784939374601146</v>
      </c>
      <c r="AI467" s="27">
        <v>31</v>
      </c>
      <c r="AJ467" s="29"/>
      <c r="AK467" s="27">
        <v>9.6449999999999996</v>
      </c>
      <c r="AL467" s="27">
        <f>AK468/AK467</f>
        <v>0.50699844479004663</v>
      </c>
      <c r="AM467" s="29"/>
    </row>
    <row r="468" spans="1:43" s="27" customFormat="1" ht="20.25" customHeight="1" x14ac:dyDescent="0.45">
      <c r="A468" s="26"/>
      <c r="B468" s="28"/>
      <c r="L468" s="27">
        <v>128</v>
      </c>
      <c r="M468" s="29"/>
      <c r="N468" s="27">
        <v>5.16</v>
      </c>
      <c r="O468" s="29"/>
      <c r="P468" s="29"/>
      <c r="Y468" s="27">
        <v>32</v>
      </c>
      <c r="AB468" s="29"/>
      <c r="AC468" s="29"/>
      <c r="AE468" s="29"/>
      <c r="AF468" s="27">
        <v>3.9790000000000001</v>
      </c>
      <c r="AI468" s="27">
        <v>32</v>
      </c>
      <c r="AJ468" s="29"/>
      <c r="AK468" s="27">
        <v>4.8899999999999997</v>
      </c>
      <c r="AL468" s="29"/>
      <c r="AM468" s="29"/>
    </row>
    <row r="469" spans="1:43" s="27" customFormat="1" ht="20.25" customHeight="1" x14ac:dyDescent="0.45">
      <c r="A469" s="26"/>
      <c r="B469" s="28"/>
      <c r="L469" s="27">
        <v>129</v>
      </c>
      <c r="M469" s="27">
        <v>83.19</v>
      </c>
      <c r="N469" s="29"/>
      <c r="O469" s="29"/>
      <c r="P469" s="29"/>
      <c r="Y469" s="27">
        <v>33</v>
      </c>
      <c r="AB469" s="29"/>
      <c r="AC469" s="29"/>
      <c r="AE469" s="27">
        <v>174.09299999999999</v>
      </c>
      <c r="AF469" s="29"/>
      <c r="AI469" s="27">
        <v>33</v>
      </c>
      <c r="AJ469" s="27">
        <v>25.72</v>
      </c>
      <c r="AK469" s="29"/>
      <c r="AL469" s="29"/>
      <c r="AM469" s="29"/>
    </row>
    <row r="470" spans="1:43" s="27" customFormat="1" ht="20.25" customHeight="1" x14ac:dyDescent="0.45">
      <c r="A470" s="26"/>
      <c r="B470" s="28"/>
      <c r="L470" s="27">
        <v>130</v>
      </c>
      <c r="M470" s="29"/>
      <c r="N470" s="27">
        <v>14.146000000000001</v>
      </c>
      <c r="O470" s="27">
        <f>N471/N470</f>
        <v>0.23101936943305526</v>
      </c>
      <c r="P470" s="29"/>
      <c r="Y470" s="27">
        <v>34</v>
      </c>
      <c r="Z470" s="29"/>
      <c r="AA470" s="27">
        <v>10.477</v>
      </c>
      <c r="AB470" s="27">
        <f>AA471/AA470</f>
        <v>0.39219242149470268</v>
      </c>
      <c r="AC470" s="29"/>
      <c r="AF470" s="29"/>
      <c r="AG470" s="29"/>
      <c r="AI470" s="27">
        <v>34</v>
      </c>
      <c r="AJ470" s="29"/>
      <c r="AK470" s="27">
        <v>7.024</v>
      </c>
      <c r="AL470" s="27">
        <f>AK471/AK470</f>
        <v>0.37784738041002275</v>
      </c>
      <c r="AM470" s="29"/>
    </row>
    <row r="471" spans="1:43" s="27" customFormat="1" ht="20.25" customHeight="1" x14ac:dyDescent="0.45">
      <c r="A471" s="26"/>
      <c r="B471" s="28"/>
      <c r="L471" s="27">
        <v>131</v>
      </c>
      <c r="M471" s="29"/>
      <c r="N471" s="27">
        <v>3.2679999999999998</v>
      </c>
      <c r="O471" s="29"/>
      <c r="P471" s="29"/>
      <c r="Y471" s="27">
        <v>35</v>
      </c>
      <c r="Z471" s="29"/>
      <c r="AA471" s="27">
        <v>4.109</v>
      </c>
      <c r="AB471" s="29"/>
      <c r="AC471" s="29"/>
      <c r="AF471" s="29"/>
      <c r="AI471" s="27">
        <v>35</v>
      </c>
      <c r="AJ471" s="29"/>
      <c r="AK471" s="27">
        <v>2.6539999999999999</v>
      </c>
      <c r="AL471" s="29"/>
      <c r="AM471" s="29"/>
    </row>
    <row r="472" spans="1:43" s="27" customFormat="1" ht="20.25" customHeight="1" x14ac:dyDescent="0.45">
      <c r="A472" s="26"/>
      <c r="B472" s="28"/>
      <c r="L472" s="27">
        <v>132</v>
      </c>
      <c r="M472" s="27">
        <v>65.831000000000003</v>
      </c>
      <c r="N472" s="29"/>
      <c r="O472" s="29"/>
      <c r="P472" s="29"/>
      <c r="Y472" s="27">
        <v>36</v>
      </c>
      <c r="Z472" s="27">
        <v>69.724000000000004</v>
      </c>
      <c r="AA472" s="29"/>
      <c r="AB472" s="29"/>
      <c r="AC472" s="29"/>
      <c r="AF472" s="29"/>
      <c r="AI472" s="27">
        <v>36</v>
      </c>
      <c r="AJ472" s="27">
        <v>87.128</v>
      </c>
      <c r="AK472" s="29"/>
      <c r="AL472" s="29"/>
      <c r="AM472" s="29"/>
    </row>
    <row r="473" spans="1:43" s="27" customFormat="1" ht="20.25" customHeight="1" x14ac:dyDescent="0.45">
      <c r="A473" s="26"/>
      <c r="B473" s="28"/>
      <c r="L473" s="27">
        <v>133</v>
      </c>
      <c r="M473" s="29"/>
      <c r="N473" s="27">
        <v>9.7010000000000005</v>
      </c>
      <c r="O473" s="27">
        <f>N474/N473</f>
        <v>0.52376043706834352</v>
      </c>
      <c r="P473" s="29"/>
      <c r="Y473" s="27">
        <v>37</v>
      </c>
      <c r="AB473" s="29"/>
      <c r="AC473" s="29"/>
      <c r="AE473" s="29"/>
      <c r="AF473" s="27">
        <v>6.4470000000000001</v>
      </c>
      <c r="AG473" s="27">
        <f>AF474/AF473</f>
        <v>0.60214053047929272</v>
      </c>
      <c r="AI473" s="27">
        <v>37</v>
      </c>
      <c r="AL473" s="29"/>
      <c r="AM473" s="29"/>
      <c r="AO473" s="29"/>
      <c r="AP473" s="27">
        <v>6.8310000000000004</v>
      </c>
      <c r="AQ473" s="27">
        <f>AP474/AP473</f>
        <v>0.78099838969404178</v>
      </c>
    </row>
    <row r="474" spans="1:43" s="27" customFormat="1" ht="20.25" customHeight="1" x14ac:dyDescent="0.45">
      <c r="A474" s="26"/>
      <c r="B474" s="28"/>
      <c r="L474" s="27">
        <v>134</v>
      </c>
      <c r="M474" s="29"/>
      <c r="N474" s="27">
        <v>5.0810000000000004</v>
      </c>
      <c r="O474" s="29"/>
      <c r="P474" s="29"/>
      <c r="Y474" s="27">
        <v>38</v>
      </c>
      <c r="AB474" s="29"/>
      <c r="AC474" s="29"/>
      <c r="AE474" s="29"/>
      <c r="AF474" s="27">
        <v>3.8820000000000001</v>
      </c>
      <c r="AI474" s="27">
        <v>38</v>
      </c>
      <c r="AL474" s="29"/>
      <c r="AM474" s="29"/>
      <c r="AO474" s="29"/>
      <c r="AP474" s="27">
        <v>5.335</v>
      </c>
    </row>
    <row r="475" spans="1:43" s="27" customFormat="1" ht="20.25" customHeight="1" x14ac:dyDescent="0.45">
      <c r="A475" s="26"/>
      <c r="B475" s="28"/>
      <c r="L475" s="27">
        <v>135</v>
      </c>
      <c r="M475" s="27">
        <v>59.481000000000002</v>
      </c>
      <c r="N475" s="29"/>
      <c r="O475" s="29"/>
      <c r="P475" s="29"/>
      <c r="Y475" s="27">
        <v>39</v>
      </c>
      <c r="AB475" s="29"/>
      <c r="AC475" s="29"/>
      <c r="AE475" s="27">
        <v>124.026</v>
      </c>
      <c r="AF475" s="29"/>
      <c r="AI475" s="27">
        <v>39</v>
      </c>
      <c r="AL475" s="29"/>
      <c r="AM475" s="29"/>
      <c r="AO475" s="27">
        <v>95.12</v>
      </c>
      <c r="AP475" s="29"/>
    </row>
    <row r="476" spans="1:43" s="27" customFormat="1" ht="20.25" customHeight="1" x14ac:dyDescent="0.45">
      <c r="A476" s="26"/>
      <c r="B476" s="28"/>
      <c r="M476" s="27">
        <f>M475+M472+M469+M463+M457+M454+M445+M442+M439+M436+M433+M430+M427+M424+M421+M418+M415+M412+M400+M397+M394+M385+M382+M379+M376+M373+M370+M367+M361+M358+M346+M343</f>
        <v>2101.6850000000004</v>
      </c>
      <c r="O476" s="27">
        <f>O473+O470+O467+O461+O455+O452+O443+O440+O437+O434+O431+O428+O425+O422+O419+O416+O413+O410+O398+O395+O392+O383+O380+O377+O374+O371+O368+O365+O359+O356+O344+O341</f>
        <v>15.584412695686499</v>
      </c>
      <c r="R476" s="27">
        <f>R466+R460+R451+R448+R409+R406+R403+R391+R388+R364+R355+R352+R349-(90*13)</f>
        <v>913.88200000000006</v>
      </c>
      <c r="T476" s="27">
        <f>T464+T458+T449+T446+T407+T404+T401+T389+T386+T362+T353+T350+T347</f>
        <v>4.8084283344683545</v>
      </c>
      <c r="Y476" s="27">
        <v>40</v>
      </c>
      <c r="AB476" s="29"/>
      <c r="AC476" s="29"/>
      <c r="AE476" s="29"/>
      <c r="AF476" s="27">
        <v>5.532</v>
      </c>
      <c r="AG476" s="27">
        <f>AF477/AF476</f>
        <v>0.56037599421547357</v>
      </c>
      <c r="AI476" s="27">
        <v>40</v>
      </c>
      <c r="AJ476" s="29"/>
      <c r="AK476" s="27">
        <v>7.6360000000000001</v>
      </c>
      <c r="AL476" s="27">
        <f>AK477/AK476</f>
        <v>0.51532215819800942</v>
      </c>
      <c r="AM476" s="29"/>
    </row>
    <row r="477" spans="1:43" s="27" customFormat="1" ht="20.25" customHeight="1" x14ac:dyDescent="0.45">
      <c r="A477" s="26"/>
      <c r="B477" s="28"/>
      <c r="M477" s="27">
        <f>M476/32</f>
        <v>65.677656250000013</v>
      </c>
      <c r="O477" s="27">
        <f>O476/32</f>
        <v>0.48701289674020309</v>
      </c>
      <c r="R477" s="27">
        <f>R476/13</f>
        <v>70.298615384615388</v>
      </c>
      <c r="T477" s="27">
        <f>T476/13</f>
        <v>0.36987910265141188</v>
      </c>
      <c r="Y477" s="27">
        <v>41</v>
      </c>
      <c r="AB477" s="29"/>
      <c r="AC477" s="29"/>
      <c r="AE477" s="29"/>
      <c r="AF477" s="27">
        <v>3.1</v>
      </c>
      <c r="AI477" s="27">
        <v>41</v>
      </c>
      <c r="AJ477" s="29"/>
      <c r="AK477" s="27">
        <v>3.9350000000000001</v>
      </c>
      <c r="AL477" s="29"/>
      <c r="AM477" s="29"/>
    </row>
    <row r="478" spans="1:43" s="27" customFormat="1" ht="20.25" customHeight="1" x14ac:dyDescent="0.45">
      <c r="A478" s="26"/>
      <c r="B478" s="28"/>
      <c r="Y478" s="27">
        <v>42</v>
      </c>
      <c r="AB478" s="29"/>
      <c r="AC478" s="29"/>
      <c r="AE478" s="27">
        <v>96.816000000000003</v>
      </c>
      <c r="AF478" s="29"/>
      <c r="AI478" s="27">
        <v>42</v>
      </c>
      <c r="AJ478" s="27">
        <v>36.575000000000003</v>
      </c>
      <c r="AK478" s="29"/>
      <c r="AL478" s="29"/>
      <c r="AM478" s="29"/>
    </row>
    <row r="479" spans="1:43" s="27" customFormat="1" ht="20.25" customHeight="1" x14ac:dyDescent="0.45">
      <c r="A479" s="26"/>
      <c r="B479" s="28"/>
      <c r="Y479" s="27">
        <v>43</v>
      </c>
      <c r="Z479" s="29"/>
      <c r="AA479" s="27">
        <v>7.32</v>
      </c>
      <c r="AB479" s="27">
        <f>AA480/AA479</f>
        <v>0.72663934426229504</v>
      </c>
      <c r="AC479" s="29"/>
      <c r="AF479" s="29"/>
      <c r="AG479" s="29"/>
      <c r="AI479" s="27">
        <v>43</v>
      </c>
      <c r="AJ479" s="29"/>
      <c r="AK479" s="27">
        <v>8.3320000000000007</v>
      </c>
      <c r="AL479" s="27">
        <f>AK480/AK479</f>
        <v>0.40830532885261639</v>
      </c>
      <c r="AM479" s="29"/>
    </row>
    <row r="480" spans="1:43" s="27" customFormat="1" ht="20.25" customHeight="1" x14ac:dyDescent="0.45">
      <c r="A480" s="26"/>
      <c r="B480" s="28"/>
      <c r="Y480" s="27">
        <v>44</v>
      </c>
      <c r="Z480" s="29"/>
      <c r="AA480" s="27">
        <v>5.319</v>
      </c>
      <c r="AB480" s="29"/>
      <c r="AC480" s="29"/>
      <c r="AF480" s="29"/>
      <c r="AI480" s="27">
        <v>44</v>
      </c>
      <c r="AJ480" s="29"/>
      <c r="AK480" s="27">
        <v>3.4020000000000001</v>
      </c>
      <c r="AL480" s="29"/>
      <c r="AM480" s="29"/>
    </row>
    <row r="481" spans="1:43" s="27" customFormat="1" ht="20.25" customHeight="1" x14ac:dyDescent="0.45">
      <c r="A481" s="26"/>
      <c r="B481" s="25" t="s">
        <v>84</v>
      </c>
      <c r="C481" s="27" t="s">
        <v>69</v>
      </c>
      <c r="H481" s="27" t="s">
        <v>78</v>
      </c>
      <c r="L481" s="25" t="s">
        <v>84</v>
      </c>
      <c r="M481" s="27" t="s">
        <v>69</v>
      </c>
      <c r="R481" s="27" t="s">
        <v>78</v>
      </c>
      <c r="Y481" s="27">
        <v>45</v>
      </c>
      <c r="Z481" s="27">
        <v>12.016</v>
      </c>
      <c r="AA481" s="29"/>
      <c r="AB481" s="29"/>
      <c r="AC481" s="29"/>
      <c r="AF481" s="29"/>
      <c r="AI481" s="27">
        <v>45</v>
      </c>
      <c r="AJ481" s="27">
        <v>85.364999999999995</v>
      </c>
      <c r="AK481" s="29"/>
      <c r="AL481" s="29"/>
      <c r="AM481" s="29"/>
    </row>
    <row r="482" spans="1:43" s="27" customFormat="1" ht="20.25" customHeight="1" x14ac:dyDescent="0.45">
      <c r="A482" s="26"/>
      <c r="B482" s="25" t="s">
        <v>10</v>
      </c>
      <c r="E482" s="27" t="s">
        <v>79</v>
      </c>
      <c r="G482" s="29"/>
      <c r="J482" s="27" t="s">
        <v>79</v>
      </c>
      <c r="L482" s="25" t="s">
        <v>8</v>
      </c>
      <c r="O482" s="27" t="s">
        <v>79</v>
      </c>
      <c r="Q482" s="29"/>
      <c r="T482" s="27" t="s">
        <v>79</v>
      </c>
      <c r="Y482" s="27">
        <v>46</v>
      </c>
      <c r="AB482" s="29"/>
      <c r="AC482" s="29"/>
      <c r="AE482" s="29"/>
      <c r="AF482" s="27">
        <v>8.7460000000000004</v>
      </c>
      <c r="AG482" s="27">
        <f>AF483/AF482</f>
        <v>0.55625428767436547</v>
      </c>
      <c r="AI482" s="27">
        <v>46</v>
      </c>
      <c r="AJ482" s="29"/>
      <c r="AK482" s="27">
        <v>9.52</v>
      </c>
      <c r="AL482" s="27">
        <f>AK483/AK482</f>
        <v>0.51743697478991602</v>
      </c>
      <c r="AM482" s="29"/>
    </row>
    <row r="483" spans="1:43" s="27" customFormat="1" ht="20.25" customHeight="1" x14ac:dyDescent="0.45">
      <c r="A483" s="26"/>
      <c r="B483" s="28">
        <v>1</v>
      </c>
      <c r="E483" s="29"/>
      <c r="F483" s="29"/>
      <c r="H483" s="29"/>
      <c r="I483" s="27">
        <v>13.253</v>
      </c>
      <c r="J483" s="27">
        <f>I484/I483</f>
        <v>0.29510299554817776</v>
      </c>
      <c r="L483" s="27">
        <v>1</v>
      </c>
      <c r="M483" s="29"/>
      <c r="N483" s="27">
        <v>9.3070000000000004</v>
      </c>
      <c r="O483" s="27">
        <f>N484/N483</f>
        <v>0.45965402385301379</v>
      </c>
      <c r="P483" s="29"/>
      <c r="Y483" s="27">
        <v>47</v>
      </c>
      <c r="AB483" s="29"/>
      <c r="AC483" s="29"/>
      <c r="AE483" s="29"/>
      <c r="AF483" s="27">
        <v>4.8650000000000002</v>
      </c>
      <c r="AI483" s="27">
        <v>47</v>
      </c>
      <c r="AJ483" s="29"/>
      <c r="AK483" s="27">
        <v>4.9260000000000002</v>
      </c>
      <c r="AL483" s="29"/>
      <c r="AM483" s="29"/>
    </row>
    <row r="484" spans="1:43" s="27" customFormat="1" ht="20.25" customHeight="1" x14ac:dyDescent="0.45">
      <c r="A484" s="26"/>
      <c r="B484" s="28">
        <v>2</v>
      </c>
      <c r="E484" s="29"/>
      <c r="F484" s="29"/>
      <c r="H484" s="29"/>
      <c r="I484" s="27">
        <v>3.911</v>
      </c>
      <c r="L484" s="27">
        <v>2</v>
      </c>
      <c r="M484" s="29"/>
      <c r="N484" s="27">
        <v>4.2779999999999996</v>
      </c>
      <c r="O484" s="29"/>
      <c r="P484" s="29"/>
      <c r="Y484" s="27">
        <v>48</v>
      </c>
      <c r="AB484" s="29"/>
      <c r="AC484" s="29"/>
      <c r="AE484" s="27">
        <v>100.336</v>
      </c>
      <c r="AF484" s="29"/>
      <c r="AI484" s="27">
        <v>48</v>
      </c>
      <c r="AJ484" s="27">
        <v>80.308000000000007</v>
      </c>
      <c r="AK484" s="29"/>
      <c r="AL484" s="29"/>
      <c r="AM484" s="29"/>
    </row>
    <row r="485" spans="1:43" s="27" customFormat="1" ht="20.25" customHeight="1" x14ac:dyDescent="0.45">
      <c r="A485" s="26"/>
      <c r="B485" s="28">
        <v>3</v>
      </c>
      <c r="E485" s="29"/>
      <c r="F485" s="29"/>
      <c r="H485" s="27">
        <v>171.614</v>
      </c>
      <c r="I485" s="29"/>
      <c r="L485" s="27">
        <v>3</v>
      </c>
      <c r="M485" s="27">
        <v>88.644000000000005</v>
      </c>
      <c r="N485" s="29"/>
      <c r="O485" s="29"/>
      <c r="P485" s="29"/>
      <c r="Y485" s="27">
        <v>49</v>
      </c>
      <c r="Z485" s="29"/>
      <c r="AA485" s="27">
        <v>9.0389999999999997</v>
      </c>
      <c r="AB485" s="27">
        <f>AA486/AA485</f>
        <v>0.55968580595198592</v>
      </c>
      <c r="AC485" s="29"/>
      <c r="AI485" s="27">
        <v>49</v>
      </c>
      <c r="AL485" s="29"/>
      <c r="AM485" s="29"/>
      <c r="AO485" s="29"/>
      <c r="AP485" s="27">
        <v>8.7240000000000002</v>
      </c>
    </row>
    <row r="486" spans="1:43" s="27" customFormat="1" ht="20.25" customHeight="1" x14ac:dyDescent="0.45">
      <c r="A486" s="26"/>
      <c r="B486" s="28">
        <v>4</v>
      </c>
      <c r="E486" s="29"/>
      <c r="F486" s="29"/>
      <c r="H486" s="29"/>
      <c r="I486" s="27">
        <v>7.1619999999999999</v>
      </c>
      <c r="J486" s="27">
        <f>I487/I486</f>
        <v>0.67620776319463838</v>
      </c>
      <c r="L486" s="27">
        <v>4</v>
      </c>
      <c r="M486" s="29"/>
      <c r="N486" s="27">
        <v>8.1379999999999999</v>
      </c>
      <c r="O486" s="27">
        <f>N487/N486</f>
        <v>0.58048660604571156</v>
      </c>
      <c r="P486" s="29"/>
      <c r="Y486" s="27">
        <v>50</v>
      </c>
      <c r="Z486" s="29"/>
      <c r="AA486" s="27">
        <v>5.0590000000000002</v>
      </c>
      <c r="AB486" s="29"/>
      <c r="AC486" s="29"/>
      <c r="AI486" s="27">
        <v>50</v>
      </c>
      <c r="AL486" s="29"/>
      <c r="AM486" s="29"/>
      <c r="AO486" s="29"/>
      <c r="AP486" s="27">
        <v>5.07</v>
      </c>
    </row>
    <row r="487" spans="1:43" s="27" customFormat="1" ht="20.25" customHeight="1" x14ac:dyDescent="0.45">
      <c r="A487" s="26"/>
      <c r="B487" s="28">
        <v>5</v>
      </c>
      <c r="E487" s="29"/>
      <c r="F487" s="29"/>
      <c r="H487" s="29"/>
      <c r="I487" s="27">
        <v>4.843</v>
      </c>
      <c r="L487" s="27">
        <v>5</v>
      </c>
      <c r="M487" s="29"/>
      <c r="N487" s="27">
        <v>4.7240000000000002</v>
      </c>
      <c r="O487" s="29"/>
      <c r="P487" s="29"/>
      <c r="Y487" s="27">
        <v>51</v>
      </c>
      <c r="Z487" s="27">
        <v>36.954999999999998</v>
      </c>
      <c r="AA487" s="29"/>
      <c r="AB487" s="29"/>
      <c r="AC487" s="29"/>
      <c r="AI487" s="27">
        <v>51</v>
      </c>
      <c r="AL487" s="29"/>
      <c r="AM487" s="29"/>
      <c r="AO487" s="27">
        <v>132.39699999999999</v>
      </c>
      <c r="AP487" s="29"/>
    </row>
    <row r="488" spans="1:43" s="27" customFormat="1" ht="20.25" customHeight="1" x14ac:dyDescent="0.45">
      <c r="A488" s="26"/>
      <c r="B488" s="28">
        <v>6</v>
      </c>
      <c r="E488" s="29"/>
      <c r="F488" s="29"/>
      <c r="H488" s="27">
        <v>177.48</v>
      </c>
      <c r="I488" s="29"/>
      <c r="L488" s="27">
        <v>6</v>
      </c>
      <c r="M488" s="27">
        <v>58.634</v>
      </c>
      <c r="N488" s="29"/>
      <c r="O488" s="29"/>
      <c r="P488" s="29"/>
      <c r="Y488" s="27">
        <v>52</v>
      </c>
      <c r="AB488" s="29"/>
      <c r="AC488" s="29"/>
      <c r="AE488" s="29"/>
      <c r="AF488" s="27">
        <v>6.6639999999999997</v>
      </c>
      <c r="AG488" s="27">
        <f>AF489/AF488</f>
        <v>0.70153061224489799</v>
      </c>
      <c r="AI488" s="27">
        <v>52</v>
      </c>
      <c r="AL488" s="29"/>
      <c r="AM488" s="29"/>
      <c r="AO488" s="29"/>
      <c r="AP488" s="27">
        <v>9.6539999999999999</v>
      </c>
      <c r="AQ488" s="27">
        <f>AP489/AP488</f>
        <v>0.299668531178786</v>
      </c>
    </row>
    <row r="489" spans="1:43" s="27" customFormat="1" ht="20.25" customHeight="1" x14ac:dyDescent="0.45">
      <c r="A489" s="26"/>
      <c r="B489" s="28">
        <v>7</v>
      </c>
      <c r="E489" s="29"/>
      <c r="F489" s="29"/>
      <c r="H489" s="29"/>
      <c r="I489" s="27">
        <v>8.5640000000000001</v>
      </c>
      <c r="J489" s="27">
        <f>I490/I489</f>
        <v>0.78421298458664179</v>
      </c>
      <c r="L489" s="27">
        <v>7</v>
      </c>
      <c r="O489" s="29"/>
      <c r="P489" s="29"/>
      <c r="Y489" s="27">
        <v>53</v>
      </c>
      <c r="AB489" s="29"/>
      <c r="AC489" s="29"/>
      <c r="AE489" s="29"/>
      <c r="AF489" s="27">
        <v>4.6749999999999998</v>
      </c>
      <c r="AI489" s="27">
        <v>53</v>
      </c>
      <c r="AL489" s="29"/>
      <c r="AM489" s="29"/>
      <c r="AO489" s="29"/>
      <c r="AP489" s="27">
        <v>2.8929999999999998</v>
      </c>
    </row>
    <row r="490" spans="1:43" s="27" customFormat="1" ht="20.25" customHeight="1" x14ac:dyDescent="0.45">
      <c r="A490" s="26"/>
      <c r="B490" s="28">
        <v>8</v>
      </c>
      <c r="E490" s="29"/>
      <c r="F490" s="29"/>
      <c r="H490" s="29"/>
      <c r="I490" s="27">
        <v>6.7160000000000002</v>
      </c>
      <c r="L490" s="27">
        <v>8</v>
      </c>
      <c r="O490" s="29"/>
      <c r="P490" s="29"/>
      <c r="R490" s="29"/>
      <c r="S490" s="27">
        <v>6.5579999999999998</v>
      </c>
      <c r="T490" s="27">
        <f>S491/S490</f>
        <v>0.53415675510826477</v>
      </c>
      <c r="Y490" s="27">
        <v>54</v>
      </c>
      <c r="AB490" s="29"/>
      <c r="AC490" s="29"/>
      <c r="AE490" s="27">
        <v>106.155</v>
      </c>
      <c r="AF490" s="29"/>
      <c r="AI490" s="27">
        <v>54</v>
      </c>
      <c r="AL490" s="29"/>
      <c r="AM490" s="29"/>
      <c r="AO490" s="27">
        <v>171.113</v>
      </c>
      <c r="AP490" s="29"/>
    </row>
    <row r="491" spans="1:43" s="27" customFormat="1" ht="20.25" customHeight="1" x14ac:dyDescent="0.45">
      <c r="A491" s="26"/>
      <c r="B491" s="28">
        <v>9</v>
      </c>
      <c r="E491" s="29"/>
      <c r="F491" s="29"/>
      <c r="H491" s="27">
        <v>147.524</v>
      </c>
      <c r="I491" s="29"/>
      <c r="L491" s="27">
        <v>9</v>
      </c>
      <c r="O491" s="29"/>
      <c r="P491" s="29"/>
      <c r="R491" s="29"/>
      <c r="S491" s="27">
        <v>3.5030000000000001</v>
      </c>
      <c r="Y491" s="27">
        <v>55</v>
      </c>
      <c r="Z491" s="29"/>
      <c r="AA491" s="27">
        <v>7.335</v>
      </c>
      <c r="AB491" s="27">
        <f>AA492/AA491</f>
        <v>0.62263122017723249</v>
      </c>
      <c r="AC491" s="29"/>
      <c r="AI491" s="27">
        <v>55</v>
      </c>
      <c r="AL491" s="29"/>
      <c r="AM491" s="29"/>
      <c r="AO491" s="29"/>
      <c r="AP491" s="27">
        <v>10.029999999999999</v>
      </c>
      <c r="AQ491" s="27">
        <f>AP492/AP491</f>
        <v>0.46959122632103689</v>
      </c>
    </row>
    <row r="492" spans="1:43" s="27" customFormat="1" ht="20.25" customHeight="1" x14ac:dyDescent="0.45">
      <c r="A492" s="26"/>
      <c r="B492" s="28">
        <v>10</v>
      </c>
      <c r="C492" s="29"/>
      <c r="D492" s="27">
        <v>7.7460000000000004</v>
      </c>
      <c r="E492" s="27">
        <f>D493/D492</f>
        <v>0.63813581203201641</v>
      </c>
      <c r="F492" s="29"/>
      <c r="L492" s="27">
        <v>10</v>
      </c>
      <c r="O492" s="29"/>
      <c r="P492" s="29"/>
      <c r="R492" s="27">
        <v>96.870999999999995</v>
      </c>
      <c r="S492" s="29"/>
      <c r="Y492" s="27">
        <v>56</v>
      </c>
      <c r="Z492" s="29"/>
      <c r="AA492" s="27">
        <v>4.5670000000000002</v>
      </c>
      <c r="AB492" s="29"/>
      <c r="AC492" s="29"/>
      <c r="AI492" s="27">
        <v>56</v>
      </c>
      <c r="AL492" s="29"/>
      <c r="AM492" s="29"/>
      <c r="AO492" s="29"/>
      <c r="AP492" s="27">
        <v>4.71</v>
      </c>
    </row>
    <row r="493" spans="1:43" s="27" customFormat="1" ht="20.25" customHeight="1" x14ac:dyDescent="0.45">
      <c r="A493" s="26"/>
      <c r="B493" s="28">
        <v>11</v>
      </c>
      <c r="C493" s="29"/>
      <c r="D493" s="27">
        <v>4.9429999999999996</v>
      </c>
      <c r="E493" s="29"/>
      <c r="F493" s="29"/>
      <c r="L493" s="27">
        <v>11</v>
      </c>
      <c r="O493" s="29"/>
      <c r="P493" s="29"/>
      <c r="R493" s="29"/>
      <c r="S493" s="27">
        <v>6.4210000000000003</v>
      </c>
      <c r="T493" s="27">
        <f>S494/S493</f>
        <v>0.65348076623578877</v>
      </c>
      <c r="Y493" s="27">
        <v>57</v>
      </c>
      <c r="Z493" s="27">
        <v>59.661999999999999</v>
      </c>
      <c r="AA493" s="29"/>
      <c r="AB493" s="29"/>
      <c r="AC493" s="29"/>
      <c r="AI493" s="27">
        <v>57</v>
      </c>
      <c r="AL493" s="29"/>
      <c r="AM493" s="29"/>
      <c r="AO493" s="27">
        <v>176.34899999999999</v>
      </c>
      <c r="AP493" s="29"/>
    </row>
    <row r="494" spans="1:43" s="27" customFormat="1" ht="20.25" customHeight="1" x14ac:dyDescent="0.45">
      <c r="A494" s="26"/>
      <c r="B494" s="28">
        <v>12</v>
      </c>
      <c r="C494" s="27">
        <v>81.600999999999999</v>
      </c>
      <c r="D494" s="29"/>
      <c r="E494" s="29"/>
      <c r="F494" s="29"/>
      <c r="L494" s="27">
        <v>12</v>
      </c>
      <c r="O494" s="29"/>
      <c r="P494" s="29"/>
      <c r="R494" s="29"/>
      <c r="S494" s="27">
        <v>4.1959999999999997</v>
      </c>
      <c r="Y494" s="27">
        <v>58</v>
      </c>
      <c r="Z494" s="29"/>
      <c r="AA494" s="27">
        <v>5.335</v>
      </c>
      <c r="AB494" s="27">
        <f>AA495/AA494</f>
        <v>0.75688847235238998</v>
      </c>
      <c r="AC494" s="29"/>
      <c r="AI494" s="27">
        <v>58</v>
      </c>
      <c r="AJ494" s="29"/>
      <c r="AK494" s="27">
        <v>6.9649999999999999</v>
      </c>
      <c r="AL494" s="27">
        <f>AK495/AK494</f>
        <v>0.6904522613065327</v>
      </c>
      <c r="AM494" s="29"/>
    </row>
    <row r="495" spans="1:43" s="27" customFormat="1" ht="20.25" customHeight="1" x14ac:dyDescent="0.45">
      <c r="A495" s="26"/>
      <c r="B495" s="28">
        <v>13</v>
      </c>
      <c r="E495" s="29"/>
      <c r="F495" s="29"/>
      <c r="H495" s="29"/>
      <c r="I495" s="27">
        <v>6.7210000000000001</v>
      </c>
      <c r="J495" s="27">
        <f>I496/I495</f>
        <v>0.73887814313346234</v>
      </c>
      <c r="L495" s="27">
        <v>13</v>
      </c>
      <c r="O495" s="29"/>
      <c r="P495" s="29"/>
      <c r="R495" s="27">
        <v>136.822</v>
      </c>
      <c r="S495" s="29"/>
      <c r="Y495" s="27">
        <v>59</v>
      </c>
      <c r="Z495" s="29"/>
      <c r="AA495" s="27">
        <v>4.0380000000000003</v>
      </c>
      <c r="AB495" s="29"/>
      <c r="AC495" s="29"/>
      <c r="AI495" s="27">
        <v>59</v>
      </c>
      <c r="AJ495" s="29"/>
      <c r="AK495" s="27">
        <v>4.8090000000000002</v>
      </c>
      <c r="AL495" s="29"/>
      <c r="AM495" s="29"/>
    </row>
    <row r="496" spans="1:43" s="27" customFormat="1" ht="20.25" customHeight="1" x14ac:dyDescent="0.45">
      <c r="A496" s="26"/>
      <c r="B496" s="28">
        <v>14</v>
      </c>
      <c r="E496" s="29"/>
      <c r="F496" s="29"/>
      <c r="H496" s="29"/>
      <c r="I496" s="27">
        <v>4.9660000000000002</v>
      </c>
      <c r="L496" s="27">
        <v>14</v>
      </c>
      <c r="O496" s="29"/>
      <c r="P496" s="29"/>
      <c r="R496" s="29"/>
      <c r="S496" s="27">
        <v>7.6369999999999996</v>
      </c>
      <c r="T496" s="27">
        <f>S497/S496</f>
        <v>0.72174937802802142</v>
      </c>
      <c r="Y496" s="27">
        <v>60</v>
      </c>
      <c r="Z496" s="27">
        <v>68.028999999999996</v>
      </c>
      <c r="AA496" s="29"/>
      <c r="AB496" s="29"/>
      <c r="AC496" s="29"/>
      <c r="AI496" s="27">
        <v>60</v>
      </c>
      <c r="AJ496" s="27">
        <v>84.585999999999999</v>
      </c>
      <c r="AK496" s="29"/>
      <c r="AL496" s="29"/>
      <c r="AM496" s="29"/>
    </row>
    <row r="497" spans="1:43" s="27" customFormat="1" ht="20.25" customHeight="1" x14ac:dyDescent="0.45">
      <c r="A497" s="26"/>
      <c r="B497" s="28">
        <v>15</v>
      </c>
      <c r="E497" s="29"/>
      <c r="F497" s="29"/>
      <c r="H497" s="27">
        <v>171.30799999999999</v>
      </c>
      <c r="I497" s="29"/>
      <c r="L497" s="27">
        <v>15</v>
      </c>
      <c r="O497" s="29"/>
      <c r="P497" s="29"/>
      <c r="R497" s="29"/>
      <c r="S497" s="27">
        <v>5.5119999999999996</v>
      </c>
      <c r="Y497" s="27">
        <v>61</v>
      </c>
      <c r="AB497" s="29"/>
      <c r="AC497" s="29"/>
      <c r="AE497" s="29"/>
      <c r="AF497" s="27">
        <v>5.976</v>
      </c>
      <c r="AG497" s="27">
        <f>AF498/AF497</f>
        <v>0.70130522088353409</v>
      </c>
      <c r="AI497" s="27">
        <v>61</v>
      </c>
      <c r="AJ497" s="29"/>
      <c r="AK497" s="27">
        <v>10.288</v>
      </c>
      <c r="AL497" s="27">
        <f>AK498/AK497</f>
        <v>0.45421850699844479</v>
      </c>
      <c r="AM497" s="29"/>
    </row>
    <row r="498" spans="1:43" s="27" customFormat="1" ht="20.25" customHeight="1" x14ac:dyDescent="0.45">
      <c r="A498" s="26"/>
      <c r="B498" s="28">
        <v>16</v>
      </c>
      <c r="C498" s="29"/>
      <c r="D498" s="27">
        <v>6.1260000000000003</v>
      </c>
      <c r="E498" s="27">
        <f>D499/D498</f>
        <v>0.8496571988246816</v>
      </c>
      <c r="F498" s="29"/>
      <c r="L498" s="27">
        <v>16</v>
      </c>
      <c r="M498" s="29"/>
      <c r="N498" s="27">
        <v>7.57</v>
      </c>
      <c r="O498" s="27">
        <f>N499/N498</f>
        <v>0.47978863936591809</v>
      </c>
      <c r="P498" s="29"/>
      <c r="R498" s="27">
        <v>153.971</v>
      </c>
      <c r="S498" s="29"/>
      <c r="Y498" s="27">
        <v>62</v>
      </c>
      <c r="AB498" s="29"/>
      <c r="AC498" s="29"/>
      <c r="AE498" s="29"/>
      <c r="AF498" s="27">
        <v>4.1909999999999998</v>
      </c>
      <c r="AI498" s="27">
        <v>62</v>
      </c>
      <c r="AJ498" s="29"/>
      <c r="AK498" s="27">
        <v>4.673</v>
      </c>
      <c r="AL498" s="29"/>
      <c r="AM498" s="29"/>
    </row>
    <row r="499" spans="1:43" s="27" customFormat="1" ht="20.25" customHeight="1" x14ac:dyDescent="0.45">
      <c r="A499" s="26"/>
      <c r="B499" s="28">
        <v>17</v>
      </c>
      <c r="C499" s="29"/>
      <c r="D499" s="27">
        <v>5.2050000000000001</v>
      </c>
      <c r="E499" s="29"/>
      <c r="F499" s="29"/>
      <c r="L499" s="27">
        <v>17</v>
      </c>
      <c r="M499" s="29"/>
      <c r="N499" s="27">
        <v>3.6320000000000001</v>
      </c>
      <c r="O499" s="29"/>
      <c r="P499" s="29"/>
      <c r="Y499" s="27">
        <v>63</v>
      </c>
      <c r="AB499" s="29"/>
      <c r="AC499" s="29"/>
      <c r="AE499" s="27">
        <v>158.154</v>
      </c>
      <c r="AF499" s="29"/>
      <c r="AI499" s="27">
        <v>63</v>
      </c>
      <c r="AJ499" s="27">
        <v>72.757999999999996</v>
      </c>
      <c r="AK499" s="29"/>
      <c r="AL499" s="29"/>
      <c r="AM499" s="29"/>
    </row>
    <row r="500" spans="1:43" s="27" customFormat="1" ht="20.25" customHeight="1" x14ac:dyDescent="0.45">
      <c r="A500" s="26"/>
      <c r="B500" s="28">
        <v>18</v>
      </c>
      <c r="C500" s="27">
        <v>79.798000000000002</v>
      </c>
      <c r="D500" s="29"/>
      <c r="E500" s="29"/>
      <c r="F500" s="29"/>
      <c r="L500" s="27">
        <v>18</v>
      </c>
      <c r="M500" s="27">
        <v>55.93</v>
      </c>
      <c r="N500" s="29"/>
      <c r="O500" s="29"/>
      <c r="P500" s="29"/>
      <c r="Y500" s="27">
        <v>64</v>
      </c>
      <c r="Z500" s="29"/>
      <c r="AA500" s="27">
        <v>9.8780000000000001</v>
      </c>
      <c r="AB500" s="27">
        <f>AA501/AA500</f>
        <v>0.55517311196598496</v>
      </c>
      <c r="AC500" s="29"/>
      <c r="AI500" s="27">
        <v>64</v>
      </c>
      <c r="AJ500" s="29"/>
      <c r="AK500" s="27">
        <v>11.385</v>
      </c>
      <c r="AL500" s="27">
        <f>AK501/AK500</f>
        <v>0.37470355731225297</v>
      </c>
      <c r="AM500" s="29"/>
    </row>
    <row r="501" spans="1:43" s="27" customFormat="1" ht="20.25" customHeight="1" x14ac:dyDescent="0.45">
      <c r="A501" s="26"/>
      <c r="B501" s="28">
        <v>19</v>
      </c>
      <c r="E501" s="29"/>
      <c r="F501" s="29"/>
      <c r="H501" s="29"/>
      <c r="I501" s="27">
        <v>9.3070000000000004</v>
      </c>
      <c r="J501" s="27">
        <f>I502/I501</f>
        <v>0.55614053937896202</v>
      </c>
      <c r="L501" s="27">
        <v>19</v>
      </c>
      <c r="O501" s="29"/>
      <c r="P501" s="29"/>
      <c r="R501" s="29"/>
      <c r="S501" s="27">
        <v>9.4329999999999998</v>
      </c>
      <c r="T501" s="27">
        <f>S502/S501</f>
        <v>0.43305417152549558</v>
      </c>
      <c r="Y501" s="27">
        <v>65</v>
      </c>
      <c r="Z501" s="29"/>
      <c r="AA501" s="27">
        <v>5.484</v>
      </c>
      <c r="AB501" s="29"/>
      <c r="AC501" s="29"/>
      <c r="AI501" s="27">
        <v>65</v>
      </c>
      <c r="AJ501" s="29"/>
      <c r="AK501" s="27">
        <v>4.266</v>
      </c>
      <c r="AL501" s="29"/>
      <c r="AM501" s="29"/>
    </row>
    <row r="502" spans="1:43" s="27" customFormat="1" ht="20.25" customHeight="1" x14ac:dyDescent="0.45">
      <c r="A502" s="26"/>
      <c r="B502" s="28">
        <v>20</v>
      </c>
      <c r="E502" s="29"/>
      <c r="F502" s="29"/>
      <c r="H502" s="29"/>
      <c r="I502" s="27">
        <v>5.1760000000000002</v>
      </c>
      <c r="L502" s="27">
        <v>20</v>
      </c>
      <c r="O502" s="29"/>
      <c r="P502" s="29"/>
      <c r="R502" s="29"/>
      <c r="S502" s="27">
        <v>4.085</v>
      </c>
      <c r="Y502" s="27">
        <v>66</v>
      </c>
      <c r="Z502" s="27">
        <v>26.794</v>
      </c>
      <c r="AA502" s="29"/>
      <c r="AB502" s="29"/>
      <c r="AC502" s="29"/>
      <c r="AI502" s="27">
        <v>66</v>
      </c>
      <c r="AJ502" s="27">
        <v>68.727000000000004</v>
      </c>
      <c r="AK502" s="29"/>
      <c r="AL502" s="29"/>
      <c r="AM502" s="29"/>
    </row>
    <row r="503" spans="1:43" s="27" customFormat="1" ht="20.25" customHeight="1" x14ac:dyDescent="0.45">
      <c r="A503" s="26"/>
      <c r="B503" s="28">
        <v>21</v>
      </c>
      <c r="E503" s="29"/>
      <c r="F503" s="29"/>
      <c r="H503" s="27">
        <v>118.92100000000001</v>
      </c>
      <c r="I503" s="29"/>
      <c r="L503" s="27">
        <v>21</v>
      </c>
      <c r="O503" s="29"/>
      <c r="P503" s="29"/>
      <c r="R503" s="27">
        <v>161.238</v>
      </c>
      <c r="S503" s="29"/>
      <c r="Y503" s="27">
        <v>67</v>
      </c>
      <c r="Z503" s="29"/>
      <c r="AA503" s="27">
        <v>12.693</v>
      </c>
      <c r="AB503" s="27">
        <f>AA504/AA503</f>
        <v>0.31135271409438275</v>
      </c>
      <c r="AC503" s="29"/>
      <c r="AI503" s="27">
        <v>67</v>
      </c>
      <c r="AJ503" s="29"/>
      <c r="AK503" s="27">
        <v>17.356000000000002</v>
      </c>
      <c r="AL503" s="27">
        <f>AK504/AK503</f>
        <v>0.21468080202811707</v>
      </c>
      <c r="AM503" s="29"/>
    </row>
    <row r="504" spans="1:43" s="27" customFormat="1" ht="20.25" customHeight="1" x14ac:dyDescent="0.45">
      <c r="A504" s="26"/>
      <c r="B504" s="28">
        <v>22</v>
      </c>
      <c r="E504" s="29"/>
      <c r="F504" s="29"/>
      <c r="H504" s="29"/>
      <c r="I504" s="27">
        <v>9.94</v>
      </c>
      <c r="J504" s="27">
        <f>I505/I504</f>
        <v>0.60010060362173034</v>
      </c>
      <c r="L504" s="27">
        <v>22</v>
      </c>
      <c r="O504" s="29"/>
      <c r="P504" s="29"/>
      <c r="R504" s="29"/>
      <c r="S504" s="27">
        <v>9.1760000000000002</v>
      </c>
      <c r="T504" s="27">
        <f>S505/S504</f>
        <v>0.52778988666085436</v>
      </c>
      <c r="Y504" s="27">
        <v>68</v>
      </c>
      <c r="Z504" s="29"/>
      <c r="AA504" s="27">
        <v>3.952</v>
      </c>
      <c r="AB504" s="29"/>
      <c r="AC504" s="29"/>
      <c r="AI504" s="27">
        <v>68</v>
      </c>
      <c r="AJ504" s="29"/>
      <c r="AK504" s="27">
        <v>3.726</v>
      </c>
      <c r="AL504" s="29"/>
      <c r="AM504" s="29"/>
    </row>
    <row r="505" spans="1:43" s="27" customFormat="1" ht="20.25" customHeight="1" x14ac:dyDescent="0.45">
      <c r="A505" s="26"/>
      <c r="B505" s="28">
        <v>23</v>
      </c>
      <c r="E505" s="29"/>
      <c r="F505" s="29"/>
      <c r="H505" s="29"/>
      <c r="I505" s="27">
        <v>5.9649999999999999</v>
      </c>
      <c r="L505" s="27">
        <v>23</v>
      </c>
      <c r="O505" s="29"/>
      <c r="P505" s="29"/>
      <c r="R505" s="29"/>
      <c r="S505" s="27">
        <v>4.843</v>
      </c>
      <c r="Y505" s="27">
        <v>69</v>
      </c>
      <c r="Z505" s="27">
        <v>57.514000000000003</v>
      </c>
      <c r="AA505" s="29"/>
      <c r="AB505" s="29"/>
      <c r="AC505" s="29"/>
      <c r="AI505" s="27">
        <v>69</v>
      </c>
      <c r="AJ505" s="27">
        <v>80.900999999999996</v>
      </c>
      <c r="AK505" s="29"/>
      <c r="AL505" s="29"/>
      <c r="AM505" s="29"/>
    </row>
    <row r="506" spans="1:43" s="27" customFormat="1" ht="20.25" customHeight="1" x14ac:dyDescent="0.45">
      <c r="A506" s="26"/>
      <c r="B506" s="28">
        <v>24</v>
      </c>
      <c r="E506" s="29"/>
      <c r="F506" s="29"/>
      <c r="H506" s="27">
        <v>96.832999999999998</v>
      </c>
      <c r="I506" s="29"/>
      <c r="L506" s="27">
        <v>24</v>
      </c>
      <c r="O506" s="29"/>
      <c r="P506" s="29"/>
      <c r="R506" s="27">
        <v>155.51900000000001</v>
      </c>
      <c r="S506" s="29"/>
      <c r="Y506" s="27">
        <v>70</v>
      </c>
      <c r="AB506" s="29"/>
      <c r="AC506" s="29"/>
      <c r="AE506" s="29"/>
      <c r="AF506" s="27">
        <v>8.6509999999999998</v>
      </c>
      <c r="AG506" s="27">
        <f>AF507/AF506</f>
        <v>0.7069702924517397</v>
      </c>
      <c r="AI506" s="27">
        <v>70</v>
      </c>
      <c r="AJ506" s="29"/>
      <c r="AK506" s="27">
        <v>8.7059999999999995</v>
      </c>
      <c r="AL506" s="27">
        <f>AK507/AK506</f>
        <v>0.57661382954284401</v>
      </c>
      <c r="AM506" s="29"/>
    </row>
    <row r="507" spans="1:43" s="27" customFormat="1" ht="20.25" customHeight="1" x14ac:dyDescent="0.45">
      <c r="A507" s="26"/>
      <c r="B507" s="28">
        <v>25</v>
      </c>
      <c r="E507" s="29"/>
      <c r="F507" s="29"/>
      <c r="H507" s="29"/>
      <c r="I507" s="27">
        <v>7.5270000000000001</v>
      </c>
      <c r="J507" s="27">
        <f>I508/I507</f>
        <v>0.57858376511226262</v>
      </c>
      <c r="L507" s="27">
        <v>25</v>
      </c>
      <c r="O507" s="29"/>
      <c r="P507" s="29"/>
      <c r="R507" s="29"/>
      <c r="S507" s="27">
        <v>6.7450000000000001</v>
      </c>
      <c r="T507" s="27">
        <f>S508/S507</f>
        <v>0.59021497405485546</v>
      </c>
      <c r="Y507" s="27">
        <v>71</v>
      </c>
      <c r="AB507" s="29"/>
      <c r="AC507" s="29"/>
      <c r="AE507" s="29"/>
      <c r="AF507" s="27">
        <v>6.1159999999999997</v>
      </c>
      <c r="AI507" s="27">
        <v>71</v>
      </c>
      <c r="AJ507" s="29"/>
      <c r="AK507" s="27">
        <v>5.0199999999999996</v>
      </c>
      <c r="AL507" s="29"/>
      <c r="AM507" s="29"/>
    </row>
    <row r="508" spans="1:43" s="27" customFormat="1" ht="20.25" customHeight="1" x14ac:dyDescent="0.45">
      <c r="A508" s="26"/>
      <c r="B508" s="28">
        <v>26</v>
      </c>
      <c r="E508" s="29"/>
      <c r="F508" s="29"/>
      <c r="H508" s="29"/>
      <c r="I508" s="27">
        <v>4.3550000000000004</v>
      </c>
      <c r="L508" s="27">
        <v>26</v>
      </c>
      <c r="O508" s="29"/>
      <c r="P508" s="29"/>
      <c r="R508" s="29"/>
      <c r="S508" s="27">
        <v>3.9809999999999999</v>
      </c>
      <c r="Y508" s="27">
        <v>72</v>
      </c>
      <c r="AB508" s="29"/>
      <c r="AC508" s="29"/>
      <c r="AE508" s="27">
        <v>160.52600000000001</v>
      </c>
      <c r="AF508" s="29"/>
      <c r="AI508" s="27">
        <v>72</v>
      </c>
      <c r="AJ508" s="27">
        <v>85.162000000000006</v>
      </c>
      <c r="AK508" s="29"/>
      <c r="AL508" s="29"/>
      <c r="AM508" s="29"/>
    </row>
    <row r="509" spans="1:43" s="27" customFormat="1" ht="20.25" customHeight="1" x14ac:dyDescent="0.45">
      <c r="A509" s="26"/>
      <c r="B509" s="28">
        <v>27</v>
      </c>
      <c r="E509" s="29"/>
      <c r="F509" s="29"/>
      <c r="H509" s="27">
        <v>160.261</v>
      </c>
      <c r="I509" s="29"/>
      <c r="L509" s="27">
        <v>27</v>
      </c>
      <c r="O509" s="29"/>
      <c r="P509" s="29"/>
      <c r="R509" s="27">
        <v>110.661</v>
      </c>
      <c r="S509" s="29"/>
      <c r="Y509" s="27">
        <v>73</v>
      </c>
      <c r="AB509" s="29"/>
      <c r="AC509" s="29"/>
      <c r="AE509" s="29"/>
      <c r="AF509" s="27">
        <v>8.5090000000000003</v>
      </c>
      <c r="AG509" s="27">
        <f>AF510/AF509</f>
        <v>0.45986602420966033</v>
      </c>
      <c r="AI509" s="27">
        <v>73</v>
      </c>
      <c r="AJ509" s="29"/>
      <c r="AK509" s="27">
        <v>9.69</v>
      </c>
      <c r="AL509" s="27">
        <f>AK510/AK509</f>
        <v>0.35283797729618166</v>
      </c>
      <c r="AM509" s="29"/>
    </row>
    <row r="510" spans="1:43" s="27" customFormat="1" ht="20.25" customHeight="1" x14ac:dyDescent="0.45">
      <c r="A510" s="26"/>
      <c r="B510" s="28">
        <v>28</v>
      </c>
      <c r="E510" s="29"/>
      <c r="F510" s="29"/>
      <c r="H510" s="29"/>
      <c r="I510" s="27">
        <v>6.165</v>
      </c>
      <c r="J510" s="27">
        <f>I511/I510</f>
        <v>0.59270072992700729</v>
      </c>
      <c r="L510" s="27">
        <v>28</v>
      </c>
      <c r="M510" s="29"/>
      <c r="N510" s="27">
        <v>9.15</v>
      </c>
      <c r="O510" s="27">
        <f>N511/N510</f>
        <v>0.47344262295081962</v>
      </c>
      <c r="P510" s="29"/>
      <c r="Y510" s="27">
        <v>74</v>
      </c>
      <c r="AB510" s="29"/>
      <c r="AC510" s="29"/>
      <c r="AE510" s="29"/>
      <c r="AF510" s="27">
        <v>3.9129999999999998</v>
      </c>
      <c r="AI510" s="27">
        <v>74</v>
      </c>
      <c r="AJ510" s="29"/>
      <c r="AK510" s="27">
        <v>3.419</v>
      </c>
      <c r="AL510" s="29"/>
      <c r="AM510" s="29"/>
    </row>
    <row r="511" spans="1:43" s="27" customFormat="1" ht="20.25" customHeight="1" x14ac:dyDescent="0.45">
      <c r="A511" s="26"/>
      <c r="B511" s="28">
        <v>29</v>
      </c>
      <c r="E511" s="29"/>
      <c r="F511" s="29"/>
      <c r="H511" s="29"/>
      <c r="I511" s="27">
        <v>3.6539999999999999</v>
      </c>
      <c r="L511" s="27">
        <v>29</v>
      </c>
      <c r="M511" s="29"/>
      <c r="N511" s="27">
        <v>4.3319999999999999</v>
      </c>
      <c r="O511" s="29"/>
      <c r="P511" s="29"/>
      <c r="Y511" s="27">
        <v>75</v>
      </c>
      <c r="AB511" s="29"/>
      <c r="AC511" s="29"/>
      <c r="AE511" s="27">
        <v>130.56800000000001</v>
      </c>
      <c r="AF511" s="29"/>
      <c r="AI511" s="27">
        <v>75</v>
      </c>
      <c r="AJ511" s="27">
        <v>24.664999999999999</v>
      </c>
      <c r="AK511" s="29"/>
      <c r="AL511" s="29"/>
      <c r="AM511" s="29"/>
    </row>
    <row r="512" spans="1:43" s="27" customFormat="1" ht="20.25" customHeight="1" x14ac:dyDescent="0.45">
      <c r="A512" s="26"/>
      <c r="B512" s="28">
        <v>30</v>
      </c>
      <c r="D512" s="29"/>
      <c r="E512" s="29"/>
      <c r="F512" s="29"/>
      <c r="H512" s="27">
        <v>64.995000000000005</v>
      </c>
      <c r="L512" s="27">
        <v>30</v>
      </c>
      <c r="M512" s="27">
        <v>75.370999999999995</v>
      </c>
      <c r="N512" s="29"/>
      <c r="O512" s="29"/>
      <c r="P512" s="29"/>
      <c r="Y512" s="27">
        <v>76</v>
      </c>
      <c r="Z512" s="29"/>
      <c r="AA512" s="27">
        <v>5.7110000000000003</v>
      </c>
      <c r="AB512" s="27">
        <f>AA513/AA512</f>
        <v>0.80511293994046573</v>
      </c>
      <c r="AC512" s="29"/>
      <c r="AI512" s="27">
        <v>76</v>
      </c>
      <c r="AL512" s="29"/>
      <c r="AM512" s="29"/>
      <c r="AO512" s="29"/>
      <c r="AP512" s="27">
        <v>8.5370000000000008</v>
      </c>
      <c r="AQ512" s="27">
        <f>AP513/AP512</f>
        <v>0.48037952442309939</v>
      </c>
    </row>
    <row r="513" spans="1:43" s="27" customFormat="1" ht="20.25" customHeight="1" x14ac:dyDescent="0.45">
      <c r="A513" s="26"/>
      <c r="B513" s="28">
        <v>31</v>
      </c>
      <c r="C513" s="29"/>
      <c r="D513" s="27">
        <v>8.2550000000000008</v>
      </c>
      <c r="E513" s="27">
        <f>D514/D513</f>
        <v>0.35796486977589337</v>
      </c>
      <c r="F513" s="29"/>
      <c r="L513" s="27">
        <v>31</v>
      </c>
      <c r="O513" s="29"/>
      <c r="P513" s="29"/>
      <c r="R513" s="29"/>
      <c r="S513" s="27">
        <v>9.4920000000000009</v>
      </c>
      <c r="T513" s="27">
        <f>S514/S513</f>
        <v>0.44374209860935515</v>
      </c>
      <c r="Y513" s="27">
        <v>77</v>
      </c>
      <c r="Z513" s="29"/>
      <c r="AA513" s="27">
        <v>4.5979999999999999</v>
      </c>
      <c r="AB513" s="29"/>
      <c r="AC513" s="29"/>
      <c r="AI513" s="27">
        <v>77</v>
      </c>
      <c r="AL513" s="29"/>
      <c r="AM513" s="29"/>
      <c r="AO513" s="29"/>
      <c r="AP513" s="27">
        <v>4.101</v>
      </c>
    </row>
    <row r="514" spans="1:43" s="27" customFormat="1" ht="20.25" customHeight="1" x14ac:dyDescent="0.45">
      <c r="A514" s="26"/>
      <c r="B514" s="28">
        <v>32</v>
      </c>
      <c r="C514" s="29"/>
      <c r="D514" s="27">
        <v>2.9550000000000001</v>
      </c>
      <c r="E514" s="29"/>
      <c r="F514" s="29"/>
      <c r="L514" s="27">
        <v>32</v>
      </c>
      <c r="O514" s="29"/>
      <c r="P514" s="29"/>
      <c r="R514" s="29"/>
      <c r="S514" s="27">
        <v>4.2119999999999997</v>
      </c>
      <c r="Y514" s="27">
        <v>78</v>
      </c>
      <c r="Z514" s="27">
        <v>39.756999999999998</v>
      </c>
      <c r="AA514" s="29"/>
      <c r="AB514" s="29"/>
      <c r="AC514" s="29"/>
      <c r="AI514" s="27">
        <v>78</v>
      </c>
      <c r="AL514" s="29"/>
      <c r="AM514" s="29"/>
      <c r="AO514" s="27">
        <v>117.099</v>
      </c>
      <c r="AP514" s="29"/>
    </row>
    <row r="515" spans="1:43" s="27" customFormat="1" ht="20.25" customHeight="1" x14ac:dyDescent="0.45">
      <c r="A515" s="26"/>
      <c r="B515" s="28">
        <v>33</v>
      </c>
      <c r="C515" s="27">
        <v>74.584999999999994</v>
      </c>
      <c r="D515" s="29"/>
      <c r="E515" s="29"/>
      <c r="F515" s="29"/>
      <c r="L515" s="27">
        <v>33</v>
      </c>
      <c r="O515" s="29"/>
      <c r="P515" s="29"/>
      <c r="R515" s="27">
        <v>154.66999999999999</v>
      </c>
      <c r="S515" s="29"/>
      <c r="Y515" s="27">
        <v>79</v>
      </c>
      <c r="AB515" s="29"/>
      <c r="AC515" s="29"/>
      <c r="AE515" s="29"/>
      <c r="AF515" s="27">
        <v>6.6459999999999999</v>
      </c>
      <c r="AG515" s="27">
        <f>AF516/AF515</f>
        <v>0.59298826361721335</v>
      </c>
      <c r="AI515" s="27">
        <v>79</v>
      </c>
      <c r="AJ515" s="29"/>
      <c r="AK515" s="27">
        <v>9.4179999999999993</v>
      </c>
      <c r="AL515" s="27">
        <f>AK516/AK515</f>
        <v>0.38946697812699094</v>
      </c>
      <c r="AM515" s="29"/>
    </row>
    <row r="516" spans="1:43" s="27" customFormat="1" ht="20.25" customHeight="1" x14ac:dyDescent="0.45">
      <c r="A516" s="26"/>
      <c r="B516" s="28">
        <v>34</v>
      </c>
      <c r="C516" s="29"/>
      <c r="D516" s="27">
        <v>5.7789999999999999</v>
      </c>
      <c r="E516" s="27">
        <f>D517/D516</f>
        <v>0.58539539712753075</v>
      </c>
      <c r="F516" s="29"/>
      <c r="L516" s="27">
        <v>34</v>
      </c>
      <c r="O516" s="29"/>
      <c r="P516" s="29"/>
      <c r="R516" s="29"/>
      <c r="S516" s="27">
        <v>8.3450000000000006</v>
      </c>
      <c r="T516" s="27">
        <f>S517/S516</f>
        <v>0.46087477531455961</v>
      </c>
      <c r="Y516" s="27">
        <v>80</v>
      </c>
      <c r="AB516" s="29"/>
      <c r="AC516" s="29"/>
      <c r="AE516" s="29"/>
      <c r="AF516" s="27">
        <v>3.9409999999999998</v>
      </c>
      <c r="AI516" s="27">
        <v>80</v>
      </c>
      <c r="AJ516" s="29"/>
      <c r="AK516" s="27">
        <v>3.6680000000000001</v>
      </c>
      <c r="AL516" s="29"/>
      <c r="AM516" s="29"/>
    </row>
    <row r="517" spans="1:43" s="27" customFormat="1" ht="20.25" customHeight="1" x14ac:dyDescent="0.45">
      <c r="A517" s="26"/>
      <c r="B517" s="28">
        <v>35</v>
      </c>
      <c r="C517" s="29"/>
      <c r="D517" s="27">
        <v>3.383</v>
      </c>
      <c r="E517" s="29"/>
      <c r="F517" s="29"/>
      <c r="L517" s="27">
        <v>35</v>
      </c>
      <c r="O517" s="29"/>
      <c r="P517" s="29"/>
      <c r="R517" s="29"/>
      <c r="S517" s="27">
        <v>3.8460000000000001</v>
      </c>
      <c r="Y517" s="27">
        <v>81</v>
      </c>
      <c r="AB517" s="29"/>
      <c r="AC517" s="29"/>
      <c r="AE517" s="27">
        <v>158.774</v>
      </c>
      <c r="AF517" s="29"/>
      <c r="AI517" s="27">
        <v>81</v>
      </c>
      <c r="AJ517" s="27">
        <v>35.994</v>
      </c>
      <c r="AK517" s="29"/>
      <c r="AL517" s="29"/>
      <c r="AM517" s="29"/>
    </row>
    <row r="518" spans="1:43" s="27" customFormat="1" ht="20.25" customHeight="1" x14ac:dyDescent="0.45">
      <c r="A518" s="26"/>
      <c r="B518" s="28">
        <v>36</v>
      </c>
      <c r="C518" s="27">
        <v>14.916</v>
      </c>
      <c r="D518" s="29"/>
      <c r="E518" s="29"/>
      <c r="F518" s="29"/>
      <c r="L518" s="27">
        <v>36</v>
      </c>
      <c r="O518" s="29"/>
      <c r="P518" s="29"/>
      <c r="R518" s="27">
        <v>175.083</v>
      </c>
      <c r="S518" s="29"/>
      <c r="Y518" s="27">
        <v>82</v>
      </c>
      <c r="Z518" s="29"/>
      <c r="AA518" s="27">
        <v>9.7080000000000002</v>
      </c>
      <c r="AB518" s="27">
        <f>AA519/AA518</f>
        <v>0.38545529460238975</v>
      </c>
      <c r="AC518" s="29"/>
      <c r="AI518" s="27">
        <v>82</v>
      </c>
      <c r="AL518" s="29"/>
      <c r="AM518" s="29"/>
      <c r="AO518" s="29"/>
      <c r="AP518" s="27">
        <v>10.531000000000001</v>
      </c>
      <c r="AQ518" s="27">
        <f>AP519/AP518</f>
        <v>0.32466052606590068</v>
      </c>
    </row>
    <row r="519" spans="1:43" s="27" customFormat="1" ht="20.25" customHeight="1" x14ac:dyDescent="0.45">
      <c r="A519" s="26"/>
      <c r="B519" s="28">
        <v>37</v>
      </c>
      <c r="E519" s="29"/>
      <c r="F519" s="29"/>
      <c r="H519" s="29"/>
      <c r="I519" s="27">
        <v>5.5430000000000001</v>
      </c>
      <c r="J519" s="27">
        <f>I520/I519</f>
        <v>0.65199350532202771</v>
      </c>
      <c r="L519" s="27">
        <v>37</v>
      </c>
      <c r="O519" s="29"/>
      <c r="P519" s="29"/>
      <c r="R519" s="29"/>
      <c r="S519" s="27">
        <v>13.83</v>
      </c>
      <c r="T519" s="27">
        <f>S520/S519</f>
        <v>0.38308026030368764</v>
      </c>
      <c r="Y519" s="27">
        <v>83</v>
      </c>
      <c r="Z519" s="29"/>
      <c r="AA519" s="27">
        <v>3.742</v>
      </c>
      <c r="AB519" s="29"/>
      <c r="AC519" s="29"/>
      <c r="AI519" s="27">
        <v>83</v>
      </c>
      <c r="AL519" s="29"/>
      <c r="AM519" s="29"/>
      <c r="AO519" s="29"/>
      <c r="AP519" s="27">
        <v>3.419</v>
      </c>
    </row>
    <row r="520" spans="1:43" s="27" customFormat="1" ht="20.25" customHeight="1" x14ac:dyDescent="0.45">
      <c r="A520" s="26"/>
      <c r="B520" s="28">
        <v>38</v>
      </c>
      <c r="E520" s="29"/>
      <c r="F520" s="29"/>
      <c r="H520" s="29"/>
      <c r="I520" s="27">
        <v>3.6139999999999999</v>
      </c>
      <c r="L520" s="27">
        <v>38</v>
      </c>
      <c r="O520" s="29"/>
      <c r="P520" s="29"/>
      <c r="R520" s="29"/>
      <c r="S520" s="27">
        <v>5.298</v>
      </c>
      <c r="Y520" s="27">
        <v>84</v>
      </c>
      <c r="Z520" s="27">
        <v>83.16</v>
      </c>
      <c r="AA520" s="29"/>
      <c r="AB520" s="29"/>
      <c r="AC520" s="29"/>
      <c r="AI520" s="27">
        <v>84</v>
      </c>
      <c r="AL520" s="29"/>
      <c r="AM520" s="29"/>
      <c r="AO520" s="27">
        <v>140.94</v>
      </c>
      <c r="AP520" s="29"/>
    </row>
    <row r="521" spans="1:43" s="27" customFormat="1" ht="20.25" customHeight="1" x14ac:dyDescent="0.45">
      <c r="A521" s="26"/>
      <c r="B521" s="28">
        <v>39</v>
      </c>
      <c r="E521" s="29"/>
      <c r="F521" s="29"/>
      <c r="H521" s="27">
        <v>108.17</v>
      </c>
      <c r="I521" s="29"/>
      <c r="L521" s="27">
        <v>39</v>
      </c>
      <c r="O521" s="29"/>
      <c r="P521" s="29"/>
      <c r="R521" s="27">
        <v>172.54900000000001</v>
      </c>
      <c r="S521" s="29"/>
      <c r="Y521" s="27">
        <v>85</v>
      </c>
      <c r="Z521" s="29"/>
      <c r="AA521" s="27">
        <v>10.818</v>
      </c>
      <c r="AB521" s="27">
        <f>AA522/AA521</f>
        <v>0.58134590497319283</v>
      </c>
      <c r="AC521" s="29"/>
      <c r="AI521" s="27">
        <v>85</v>
      </c>
      <c r="AL521" s="29"/>
      <c r="AM521" s="29"/>
      <c r="AO521" s="29"/>
      <c r="AP521" s="27">
        <v>6.78</v>
      </c>
      <c r="AQ521" s="27">
        <f>AP522/AP521</f>
        <v>0.55604719764011801</v>
      </c>
    </row>
    <row r="522" spans="1:43" s="27" customFormat="1" ht="20.25" customHeight="1" x14ac:dyDescent="0.45">
      <c r="A522" s="26"/>
      <c r="B522" s="28">
        <v>40</v>
      </c>
      <c r="E522" s="29"/>
      <c r="F522" s="29"/>
      <c r="H522" s="29"/>
      <c r="I522" s="27">
        <v>7.2610000000000001</v>
      </c>
      <c r="J522" s="27">
        <f>I523/I522</f>
        <v>0.63655143919570301</v>
      </c>
      <c r="L522" s="27">
        <v>40</v>
      </c>
      <c r="O522" s="29"/>
      <c r="P522" s="29"/>
      <c r="R522" s="29"/>
      <c r="S522" s="27">
        <v>8.9290000000000003</v>
      </c>
      <c r="T522" s="27">
        <f>S523/S522</f>
        <v>0.49781610482696831</v>
      </c>
      <c r="Y522" s="27">
        <v>86</v>
      </c>
      <c r="Z522" s="29"/>
      <c r="AA522" s="27">
        <v>6.2889999999999997</v>
      </c>
      <c r="AB522" s="29"/>
      <c r="AC522" s="29"/>
      <c r="AI522" s="27">
        <v>86</v>
      </c>
      <c r="AL522" s="29"/>
      <c r="AM522" s="29"/>
      <c r="AO522" s="29"/>
      <c r="AP522" s="27">
        <v>3.77</v>
      </c>
    </row>
    <row r="523" spans="1:43" s="27" customFormat="1" ht="20.25" customHeight="1" x14ac:dyDescent="0.45">
      <c r="A523" s="26"/>
      <c r="B523" s="28">
        <v>41</v>
      </c>
      <c r="E523" s="29"/>
      <c r="F523" s="29"/>
      <c r="H523" s="29"/>
      <c r="I523" s="27">
        <v>4.6219999999999999</v>
      </c>
      <c r="L523" s="27">
        <v>41</v>
      </c>
      <c r="O523" s="29"/>
      <c r="P523" s="29"/>
      <c r="R523" s="29"/>
      <c r="S523" s="27">
        <v>4.4450000000000003</v>
      </c>
      <c r="Y523" s="27">
        <v>87</v>
      </c>
      <c r="Z523" s="27">
        <v>35.07</v>
      </c>
      <c r="AA523" s="29"/>
      <c r="AB523" s="29"/>
      <c r="AC523" s="29"/>
      <c r="AI523" s="27">
        <v>87</v>
      </c>
      <c r="AL523" s="29"/>
      <c r="AM523" s="29"/>
      <c r="AO523" s="27">
        <v>167.59399999999999</v>
      </c>
      <c r="AP523" s="29"/>
    </row>
    <row r="524" spans="1:43" s="27" customFormat="1" ht="20.25" customHeight="1" x14ac:dyDescent="0.45">
      <c r="A524" s="26"/>
      <c r="B524" s="28">
        <v>42</v>
      </c>
      <c r="E524" s="29"/>
      <c r="F524" s="29"/>
      <c r="H524" s="27">
        <v>170.74199999999999</v>
      </c>
      <c r="I524" s="29"/>
      <c r="L524" s="27">
        <v>42</v>
      </c>
      <c r="O524" s="29"/>
      <c r="P524" s="29"/>
      <c r="R524" s="27">
        <v>128.072</v>
      </c>
      <c r="S524" s="29"/>
      <c r="Y524" s="27">
        <v>88</v>
      </c>
      <c r="Z524" s="29"/>
      <c r="AA524" s="27">
        <v>12.819000000000001</v>
      </c>
      <c r="AB524" s="27">
        <f>AA525/AA524</f>
        <v>0.37538029487479524</v>
      </c>
      <c r="AC524" s="29"/>
      <c r="AI524" s="27">
        <v>88</v>
      </c>
      <c r="AL524" s="29"/>
      <c r="AM524" s="29"/>
      <c r="AO524" s="29"/>
      <c r="AP524" s="27">
        <v>8.423</v>
      </c>
      <c r="AQ524" s="27">
        <f>AP525/AP524</f>
        <v>0.74225335391190783</v>
      </c>
    </row>
    <row r="525" spans="1:43" s="27" customFormat="1" ht="20.25" customHeight="1" x14ac:dyDescent="0.45">
      <c r="A525" s="26"/>
      <c r="B525" s="28">
        <v>43</v>
      </c>
      <c r="C525" s="29"/>
      <c r="D525" s="27">
        <v>6.4969999999999999</v>
      </c>
      <c r="E525" s="27">
        <f>D526/D525</f>
        <v>0.61474526704632915</v>
      </c>
      <c r="F525" s="29"/>
      <c r="L525" s="27">
        <v>43</v>
      </c>
      <c r="M525" s="29"/>
      <c r="N525" s="27">
        <v>9.9559999999999995</v>
      </c>
      <c r="O525" s="27">
        <f>N526/N525</f>
        <v>0.39393330654881481</v>
      </c>
      <c r="P525" s="29"/>
      <c r="Y525" s="27">
        <v>89</v>
      </c>
      <c r="Z525" s="29"/>
      <c r="AA525" s="27">
        <v>4.8120000000000003</v>
      </c>
      <c r="AB525" s="29"/>
      <c r="AC525" s="29"/>
      <c r="AI525" s="27">
        <v>89</v>
      </c>
      <c r="AL525" s="29"/>
      <c r="AM525" s="29"/>
      <c r="AO525" s="29"/>
      <c r="AP525" s="27">
        <v>6.2519999999999998</v>
      </c>
    </row>
    <row r="526" spans="1:43" s="27" customFormat="1" ht="20.25" customHeight="1" x14ac:dyDescent="0.45">
      <c r="A526" s="26"/>
      <c r="B526" s="28">
        <v>44</v>
      </c>
      <c r="C526" s="29"/>
      <c r="D526" s="27">
        <v>3.9940000000000002</v>
      </c>
      <c r="E526" s="29"/>
      <c r="F526" s="29"/>
      <c r="L526" s="27">
        <v>44</v>
      </c>
      <c r="M526" s="29"/>
      <c r="N526" s="27">
        <v>3.9220000000000002</v>
      </c>
      <c r="O526" s="29"/>
      <c r="P526" s="29"/>
      <c r="Y526" s="27">
        <v>90</v>
      </c>
      <c r="Z526" s="27">
        <v>76.634</v>
      </c>
      <c r="AA526" s="29"/>
      <c r="AB526" s="29"/>
      <c r="AC526" s="29"/>
      <c r="AI526" s="27">
        <v>90</v>
      </c>
      <c r="AL526" s="29"/>
      <c r="AM526" s="29"/>
      <c r="AO526" s="27">
        <v>176.32300000000001</v>
      </c>
      <c r="AP526" s="29"/>
    </row>
    <row r="527" spans="1:43" s="27" customFormat="1" ht="20.25" customHeight="1" x14ac:dyDescent="0.45">
      <c r="A527" s="26"/>
      <c r="B527" s="28">
        <v>45</v>
      </c>
      <c r="C527" s="27">
        <v>70.56</v>
      </c>
      <c r="D527" s="29"/>
      <c r="E527" s="29"/>
      <c r="F527" s="29"/>
      <c r="L527" s="27">
        <v>45</v>
      </c>
      <c r="M527" s="27">
        <v>87.01</v>
      </c>
      <c r="N527" s="29"/>
      <c r="O527" s="29"/>
      <c r="P527" s="29"/>
      <c r="Y527" s="27">
        <v>91</v>
      </c>
      <c r="AB527" s="29"/>
      <c r="AC527" s="29"/>
      <c r="AE527" s="29"/>
      <c r="AF527" s="27">
        <v>7.3639999999999999</v>
      </c>
      <c r="AG527" s="27">
        <f>AF528/AF527</f>
        <v>0.65657251493753399</v>
      </c>
      <c r="AI527" s="27">
        <v>91</v>
      </c>
      <c r="AJ527" s="29"/>
      <c r="AK527" s="27">
        <v>8.9269999999999996</v>
      </c>
      <c r="AL527" s="27">
        <f>AK528/AK527</f>
        <v>0.83017811134759711</v>
      </c>
      <c r="AM527" s="29"/>
    </row>
    <row r="528" spans="1:43" s="27" customFormat="1" ht="20.25" customHeight="1" x14ac:dyDescent="0.45">
      <c r="A528" s="26"/>
      <c r="B528" s="28">
        <v>46</v>
      </c>
      <c r="E528" s="29"/>
      <c r="F528" s="29"/>
      <c r="H528" s="29"/>
      <c r="I528" s="27">
        <v>6.5019999999999998</v>
      </c>
      <c r="J528" s="27">
        <f>I529/I528</f>
        <v>0.66241156567210102</v>
      </c>
      <c r="L528" s="27">
        <v>46</v>
      </c>
      <c r="O528" s="29"/>
      <c r="P528" s="29"/>
      <c r="R528" s="29"/>
      <c r="S528" s="27">
        <v>8.7240000000000002</v>
      </c>
      <c r="T528" s="27">
        <f>S529/S528</f>
        <v>0.40944520861989914</v>
      </c>
      <c r="Y528" s="27">
        <v>92</v>
      </c>
      <c r="AB528" s="29"/>
      <c r="AC528" s="29"/>
      <c r="AE528" s="29"/>
      <c r="AF528" s="27">
        <v>4.835</v>
      </c>
      <c r="AI528" s="27">
        <v>92</v>
      </c>
      <c r="AJ528" s="29"/>
      <c r="AK528" s="27">
        <v>7.4109999999999996</v>
      </c>
      <c r="AL528" s="29"/>
      <c r="AM528" s="29"/>
    </row>
    <row r="529" spans="1:43" s="27" customFormat="1" ht="20.25" customHeight="1" x14ac:dyDescent="0.45">
      <c r="A529" s="26"/>
      <c r="B529" s="28">
        <v>47</v>
      </c>
      <c r="E529" s="29"/>
      <c r="F529" s="29"/>
      <c r="H529" s="29"/>
      <c r="I529" s="27">
        <v>4.3070000000000004</v>
      </c>
      <c r="L529" s="27">
        <v>47</v>
      </c>
      <c r="O529" s="29"/>
      <c r="P529" s="29"/>
      <c r="R529" s="29"/>
      <c r="S529" s="27">
        <v>3.5720000000000001</v>
      </c>
      <c r="Y529" s="27">
        <v>93</v>
      </c>
      <c r="AB529" s="29"/>
      <c r="AC529" s="29"/>
      <c r="AE529" s="27">
        <v>176.703</v>
      </c>
      <c r="AF529" s="29"/>
      <c r="AI529" s="27">
        <v>93</v>
      </c>
      <c r="AJ529" s="27">
        <v>84.646000000000001</v>
      </c>
      <c r="AK529" s="29"/>
      <c r="AL529" s="29"/>
      <c r="AM529" s="29"/>
    </row>
    <row r="530" spans="1:43" s="27" customFormat="1" ht="20.25" customHeight="1" x14ac:dyDescent="0.45">
      <c r="A530" s="26"/>
      <c r="B530" s="28">
        <v>48</v>
      </c>
      <c r="E530" s="29"/>
      <c r="F530" s="29"/>
      <c r="H530" s="27">
        <v>176.79</v>
      </c>
      <c r="I530" s="29"/>
      <c r="L530" s="27">
        <v>48</v>
      </c>
      <c r="O530" s="29"/>
      <c r="P530" s="29"/>
      <c r="R530" s="27">
        <v>149.31299999999999</v>
      </c>
      <c r="S530" s="29"/>
      <c r="Y530" s="27">
        <v>94</v>
      </c>
      <c r="AB530" s="29"/>
      <c r="AC530" s="29"/>
      <c r="AE530" s="29"/>
      <c r="AF530" s="27">
        <v>7.3140000000000001</v>
      </c>
      <c r="AG530" s="27">
        <f>AF531/AF530</f>
        <v>0.80885972108285487</v>
      </c>
      <c r="AI530" s="27">
        <v>94</v>
      </c>
      <c r="AL530" s="29"/>
      <c r="AM530" s="29"/>
      <c r="AO530" s="29"/>
      <c r="AP530" s="27">
        <v>8.02</v>
      </c>
      <c r="AQ530" s="27">
        <f>AP531/AP530</f>
        <v>0.42182044887780551</v>
      </c>
    </row>
    <row r="531" spans="1:43" s="27" customFormat="1" ht="20.25" customHeight="1" x14ac:dyDescent="0.45">
      <c r="A531" s="26"/>
      <c r="B531" s="28">
        <v>49</v>
      </c>
      <c r="E531" s="29"/>
      <c r="F531" s="29"/>
      <c r="H531" s="29"/>
      <c r="I531" s="27">
        <v>7.3639999999999999</v>
      </c>
      <c r="J531" s="27">
        <f>I532/I531</f>
        <v>0.72256925583921783</v>
      </c>
      <c r="L531" s="27">
        <v>49</v>
      </c>
      <c r="O531" s="29"/>
      <c r="P531" s="29"/>
      <c r="R531" s="29"/>
      <c r="S531" s="27">
        <v>7.17</v>
      </c>
      <c r="T531" s="27">
        <f>S532/S531</f>
        <v>0.59023709902370991</v>
      </c>
      <c r="Y531" s="27">
        <v>95</v>
      </c>
      <c r="AB531" s="29"/>
      <c r="AC531" s="29"/>
      <c r="AE531" s="29"/>
      <c r="AF531" s="27">
        <v>5.9160000000000004</v>
      </c>
      <c r="AI531" s="27">
        <v>95</v>
      </c>
      <c r="AL531" s="29"/>
      <c r="AM531" s="29"/>
      <c r="AO531" s="29"/>
      <c r="AP531" s="27">
        <v>3.383</v>
      </c>
    </row>
    <row r="532" spans="1:43" s="27" customFormat="1" ht="20.25" customHeight="1" x14ac:dyDescent="0.45">
      <c r="A532" s="26"/>
      <c r="B532" s="28">
        <v>50</v>
      </c>
      <c r="E532" s="29"/>
      <c r="F532" s="29"/>
      <c r="H532" s="29"/>
      <c r="I532" s="27">
        <v>5.3209999999999997</v>
      </c>
      <c r="L532" s="27">
        <v>50</v>
      </c>
      <c r="O532" s="29"/>
      <c r="P532" s="29"/>
      <c r="R532" s="29"/>
      <c r="S532" s="27">
        <v>4.2320000000000002</v>
      </c>
      <c r="Y532" s="27">
        <v>96</v>
      </c>
      <c r="AB532" s="29"/>
      <c r="AC532" s="29"/>
      <c r="AE532" s="27">
        <v>152.37799999999999</v>
      </c>
      <c r="AF532" s="29"/>
      <c r="AI532" s="27">
        <v>96</v>
      </c>
      <c r="AL532" s="29"/>
      <c r="AM532" s="29"/>
      <c r="AO532" s="27">
        <v>121.86199999999999</v>
      </c>
      <c r="AP532" s="29"/>
    </row>
    <row r="533" spans="1:43" s="27" customFormat="1" ht="20.25" customHeight="1" x14ac:dyDescent="0.45">
      <c r="A533" s="26"/>
      <c r="B533" s="28">
        <v>51</v>
      </c>
      <c r="E533" s="29"/>
      <c r="F533" s="29"/>
      <c r="H533" s="27">
        <v>93.984999999999999</v>
      </c>
      <c r="I533" s="29"/>
      <c r="L533" s="27">
        <v>51</v>
      </c>
      <c r="O533" s="29"/>
      <c r="P533" s="29"/>
      <c r="R533" s="27">
        <v>107.935</v>
      </c>
      <c r="S533" s="29"/>
      <c r="Y533" s="27">
        <v>97</v>
      </c>
      <c r="AB533" s="29"/>
      <c r="AC533" s="29"/>
      <c r="AE533" s="29"/>
      <c r="AF533" s="27">
        <v>6.0119999999999996</v>
      </c>
      <c r="AG533" s="27">
        <f>AF534/AF533</f>
        <v>0.76047904191616778</v>
      </c>
      <c r="AI533" s="27">
        <v>97</v>
      </c>
      <c r="AL533" s="29"/>
      <c r="AM533" s="29"/>
      <c r="AO533" s="29"/>
      <c r="AP533" s="27">
        <v>8.5839999999999996</v>
      </c>
      <c r="AQ533" s="27">
        <f>AP534/AP533</f>
        <v>0.49301025163094131</v>
      </c>
    </row>
    <row r="534" spans="1:43" s="27" customFormat="1" ht="20.25" customHeight="1" x14ac:dyDescent="0.45">
      <c r="A534" s="26"/>
      <c r="B534" s="28">
        <v>52</v>
      </c>
      <c r="E534" s="29"/>
      <c r="F534" s="29"/>
      <c r="H534" s="29"/>
      <c r="I534" s="27">
        <v>8.8879999999999999</v>
      </c>
      <c r="J534" s="27">
        <f>I535/I534</f>
        <v>0.51642664266426641</v>
      </c>
      <c r="L534" s="27">
        <v>52</v>
      </c>
      <c r="O534" s="29"/>
      <c r="P534" s="29"/>
      <c r="R534" s="29"/>
      <c r="S534" s="27">
        <v>8.1880000000000006</v>
      </c>
      <c r="T534" s="27">
        <f>S535/S534</f>
        <v>0.44553004396678064</v>
      </c>
      <c r="Y534" s="27">
        <v>98</v>
      </c>
      <c r="AB534" s="29"/>
      <c r="AC534" s="29"/>
      <c r="AE534" s="29"/>
      <c r="AF534" s="27">
        <v>4.5720000000000001</v>
      </c>
      <c r="AI534" s="27">
        <v>98</v>
      </c>
      <c r="AL534" s="29"/>
      <c r="AM534" s="29"/>
      <c r="AO534" s="29"/>
      <c r="AP534" s="27">
        <v>4.2320000000000002</v>
      </c>
    </row>
    <row r="535" spans="1:43" s="27" customFormat="1" ht="20.25" customHeight="1" x14ac:dyDescent="0.45">
      <c r="A535" s="26"/>
      <c r="B535" s="28">
        <v>53</v>
      </c>
      <c r="E535" s="29"/>
      <c r="F535" s="29"/>
      <c r="H535" s="29"/>
      <c r="I535" s="27">
        <v>4.59</v>
      </c>
      <c r="L535" s="27">
        <v>53</v>
      </c>
      <c r="O535" s="29"/>
      <c r="P535" s="29"/>
      <c r="R535" s="29"/>
      <c r="S535" s="27">
        <v>3.6480000000000001</v>
      </c>
      <c r="Y535" s="27">
        <v>99</v>
      </c>
      <c r="AB535" s="29"/>
      <c r="AC535" s="29"/>
      <c r="AE535" s="27">
        <v>172.893</v>
      </c>
      <c r="AF535" s="29"/>
      <c r="AI535" s="27">
        <v>99</v>
      </c>
      <c r="AL535" s="29"/>
      <c r="AM535" s="29"/>
      <c r="AO535" s="27">
        <v>126.36199999999999</v>
      </c>
      <c r="AP535" s="29"/>
    </row>
    <row r="536" spans="1:43" s="27" customFormat="1" ht="20.25" customHeight="1" x14ac:dyDescent="0.45">
      <c r="A536" s="26"/>
      <c r="B536" s="28">
        <v>54</v>
      </c>
      <c r="E536" s="29"/>
      <c r="F536" s="29"/>
      <c r="H536" s="27">
        <v>105.822</v>
      </c>
      <c r="I536" s="29"/>
      <c r="L536" s="27">
        <v>54</v>
      </c>
      <c r="O536" s="29"/>
      <c r="P536" s="29"/>
      <c r="R536" s="27">
        <v>161.374</v>
      </c>
      <c r="S536" s="29"/>
      <c r="Y536" s="27">
        <v>100</v>
      </c>
      <c r="AB536" s="29"/>
      <c r="AC536" s="29"/>
      <c r="AE536" s="29"/>
      <c r="AF536" s="27">
        <v>6.1539999999999999</v>
      </c>
      <c r="AG536" s="27">
        <f>AF537/AF536</f>
        <v>0.68297042573935662</v>
      </c>
      <c r="AI536" s="27">
        <v>100</v>
      </c>
      <c r="AJ536" s="29"/>
      <c r="AK536" s="27">
        <v>12.488</v>
      </c>
      <c r="AL536" s="27">
        <f>AK537/AK536</f>
        <v>0.37804292120435617</v>
      </c>
      <c r="AM536" s="29"/>
    </row>
    <row r="537" spans="1:43" s="27" customFormat="1" ht="20.25" customHeight="1" x14ac:dyDescent="0.45">
      <c r="A537" s="26"/>
      <c r="B537" s="28">
        <v>55</v>
      </c>
      <c r="E537" s="29"/>
      <c r="F537" s="29"/>
      <c r="H537" s="29"/>
      <c r="I537" s="27">
        <v>9.2629999999999999</v>
      </c>
      <c r="J537" s="27">
        <f>I538/I537</f>
        <v>0.80891719745222934</v>
      </c>
      <c r="L537" s="27">
        <v>55</v>
      </c>
      <c r="O537" s="29"/>
      <c r="P537" s="29"/>
      <c r="R537" s="29"/>
      <c r="S537" s="27">
        <v>6.7160000000000002</v>
      </c>
      <c r="T537" s="27">
        <f>S538/S537</f>
        <v>0.66408576533650976</v>
      </c>
      <c r="Y537" s="27">
        <v>101</v>
      </c>
      <c r="AB537" s="29"/>
      <c r="AC537" s="29"/>
      <c r="AE537" s="29"/>
      <c r="AF537" s="27">
        <v>4.2030000000000003</v>
      </c>
      <c r="AI537" s="27">
        <v>101</v>
      </c>
      <c r="AJ537" s="29"/>
      <c r="AK537" s="27">
        <v>4.7210000000000001</v>
      </c>
      <c r="AL537" s="29"/>
      <c r="AM537" s="29"/>
    </row>
    <row r="538" spans="1:43" s="27" customFormat="1" ht="20.25" customHeight="1" x14ac:dyDescent="0.45">
      <c r="A538" s="26"/>
      <c r="B538" s="28">
        <v>56</v>
      </c>
      <c r="E538" s="29"/>
      <c r="F538" s="29"/>
      <c r="H538" s="29"/>
      <c r="I538" s="27">
        <v>7.4930000000000003</v>
      </c>
      <c r="L538" s="27">
        <v>56</v>
      </c>
      <c r="O538" s="29"/>
      <c r="P538" s="29"/>
      <c r="R538" s="29"/>
      <c r="S538" s="27">
        <v>4.46</v>
      </c>
      <c r="Y538" s="27">
        <v>102</v>
      </c>
      <c r="AB538" s="29"/>
      <c r="AC538" s="29"/>
      <c r="AE538" s="27">
        <v>92.691000000000003</v>
      </c>
      <c r="AF538" s="29"/>
      <c r="AI538" s="27">
        <v>102</v>
      </c>
      <c r="AJ538" s="27">
        <v>72.317999999999998</v>
      </c>
      <c r="AK538" s="29"/>
      <c r="AL538" s="29"/>
      <c r="AM538" s="29"/>
    </row>
    <row r="539" spans="1:43" s="27" customFormat="1" ht="20.25" customHeight="1" x14ac:dyDescent="0.45">
      <c r="A539" s="26"/>
      <c r="B539" s="28">
        <v>57</v>
      </c>
      <c r="E539" s="29"/>
      <c r="F539" s="29"/>
      <c r="H539" s="27">
        <v>117.59699999999999</v>
      </c>
      <c r="I539" s="29"/>
      <c r="L539" s="27">
        <v>57</v>
      </c>
      <c r="O539" s="29"/>
      <c r="P539" s="29"/>
      <c r="R539" s="27">
        <v>112.538</v>
      </c>
      <c r="S539" s="29"/>
      <c r="Y539" s="27">
        <v>103</v>
      </c>
      <c r="AB539" s="29"/>
      <c r="AC539" s="29"/>
      <c r="AE539" s="29"/>
      <c r="AF539" s="27">
        <v>8.7059999999999995</v>
      </c>
      <c r="AG539" s="27">
        <f>AF540/AF539</f>
        <v>0.6419710544452103</v>
      </c>
      <c r="AI539" s="27">
        <v>103</v>
      </c>
      <c r="AJ539" s="29"/>
      <c r="AK539" s="27">
        <v>8.8190000000000008</v>
      </c>
      <c r="AL539" s="27">
        <f>AK540/AK539</f>
        <v>0.56707109649620135</v>
      </c>
      <c r="AM539" s="29"/>
    </row>
    <row r="540" spans="1:43" s="27" customFormat="1" ht="20.25" customHeight="1" x14ac:dyDescent="0.45">
      <c r="A540" s="26"/>
      <c r="B540" s="28">
        <v>58</v>
      </c>
      <c r="C540" s="29"/>
      <c r="D540" s="27">
        <v>10.855</v>
      </c>
      <c r="E540" s="27">
        <f>D541/D540</f>
        <v>0.38212805158912938</v>
      </c>
      <c r="F540" s="29"/>
      <c r="L540" s="27">
        <v>58</v>
      </c>
      <c r="M540" s="29"/>
      <c r="N540" s="27">
        <v>10.199999999999999</v>
      </c>
      <c r="O540" s="27">
        <f>N541/N540</f>
        <v>0.6080392156862745</v>
      </c>
      <c r="P540" s="29"/>
      <c r="Y540" s="27">
        <v>104</v>
      </c>
      <c r="AB540" s="29"/>
      <c r="AC540" s="29"/>
      <c r="AE540" s="29"/>
      <c r="AF540" s="27">
        <v>5.5890000000000004</v>
      </c>
      <c r="AI540" s="27">
        <v>104</v>
      </c>
      <c r="AJ540" s="29"/>
      <c r="AK540" s="27">
        <v>5.0010000000000003</v>
      </c>
      <c r="AL540" s="29"/>
      <c r="AM540" s="29"/>
    </row>
    <row r="541" spans="1:43" s="27" customFormat="1" ht="20.25" customHeight="1" x14ac:dyDescent="0.45">
      <c r="A541" s="26"/>
      <c r="B541" s="28">
        <v>59</v>
      </c>
      <c r="C541" s="29"/>
      <c r="D541" s="27">
        <v>4.1479999999999997</v>
      </c>
      <c r="E541" s="29"/>
      <c r="F541" s="29"/>
      <c r="L541" s="27">
        <v>59</v>
      </c>
      <c r="M541" s="29"/>
      <c r="N541" s="27">
        <v>6.202</v>
      </c>
      <c r="O541" s="29"/>
      <c r="P541" s="29"/>
      <c r="Y541" s="27">
        <v>105</v>
      </c>
      <c r="AB541" s="29"/>
      <c r="AC541" s="29"/>
      <c r="AE541" s="27">
        <v>148.666</v>
      </c>
      <c r="AF541" s="29"/>
      <c r="AI541" s="27">
        <v>105</v>
      </c>
      <c r="AJ541" s="27">
        <v>66.801000000000002</v>
      </c>
      <c r="AK541" s="29"/>
      <c r="AL541" s="29"/>
      <c r="AM541" s="29"/>
    </row>
    <row r="542" spans="1:43" s="27" customFormat="1" ht="20.25" customHeight="1" x14ac:dyDescent="0.45">
      <c r="A542" s="26"/>
      <c r="B542" s="28">
        <v>60</v>
      </c>
      <c r="C542" s="27">
        <v>17.827999999999999</v>
      </c>
      <c r="D542" s="29"/>
      <c r="E542" s="29"/>
      <c r="F542" s="29"/>
      <c r="L542" s="27">
        <v>60</v>
      </c>
      <c r="M542" s="27">
        <v>69.198999999999998</v>
      </c>
      <c r="N542" s="29"/>
      <c r="O542" s="29"/>
      <c r="P542" s="29"/>
      <c r="Y542" s="27">
        <v>106</v>
      </c>
      <c r="AB542" s="29"/>
      <c r="AC542" s="29"/>
      <c r="AE542" s="29"/>
      <c r="AF542" s="27">
        <v>7.5</v>
      </c>
      <c r="AG542" s="27">
        <f>AF543/AF542</f>
        <v>0.59613333333333329</v>
      </c>
      <c r="AI542" s="27">
        <v>106</v>
      </c>
      <c r="AL542" s="29"/>
      <c r="AM542" s="29"/>
      <c r="AO542" s="29"/>
      <c r="AP542" s="27">
        <v>10.284000000000001</v>
      </c>
      <c r="AQ542" s="27">
        <f>AP543/AP542</f>
        <v>0.39653831194087902</v>
      </c>
    </row>
    <row r="543" spans="1:43" s="27" customFormat="1" ht="20.25" customHeight="1" x14ac:dyDescent="0.45">
      <c r="A543" s="26"/>
      <c r="B543" s="28">
        <v>61</v>
      </c>
      <c r="C543" s="29"/>
      <c r="D543" s="27">
        <v>4.9530000000000003</v>
      </c>
      <c r="E543" s="27">
        <f>D544/D543</f>
        <v>0.72117908338380776</v>
      </c>
      <c r="F543" s="29"/>
      <c r="L543" s="27">
        <v>61</v>
      </c>
      <c r="O543" s="29"/>
      <c r="P543" s="29"/>
      <c r="R543" s="29"/>
      <c r="S543" s="27">
        <v>11.173</v>
      </c>
      <c r="T543" s="27">
        <f>S544/S543</f>
        <v>0.39783406426206036</v>
      </c>
      <c r="Y543" s="27">
        <v>107</v>
      </c>
      <c r="AB543" s="29"/>
      <c r="AC543" s="29"/>
      <c r="AE543" s="29"/>
      <c r="AF543" s="27">
        <v>4.4710000000000001</v>
      </c>
      <c r="AI543" s="27">
        <v>107</v>
      </c>
      <c r="AL543" s="29"/>
      <c r="AM543" s="29"/>
      <c r="AO543" s="29"/>
      <c r="AP543" s="27">
        <v>4.0780000000000003</v>
      </c>
    </row>
    <row r="544" spans="1:43" s="27" customFormat="1" ht="20.25" customHeight="1" x14ac:dyDescent="0.45">
      <c r="A544" s="26"/>
      <c r="B544" s="28">
        <v>62</v>
      </c>
      <c r="C544" s="29"/>
      <c r="D544" s="27">
        <v>3.5720000000000001</v>
      </c>
      <c r="E544" s="29"/>
      <c r="F544" s="29"/>
      <c r="L544" s="27">
        <v>62</v>
      </c>
      <c r="O544" s="29"/>
      <c r="P544" s="29"/>
      <c r="R544" s="29"/>
      <c r="S544" s="27">
        <v>4.4450000000000003</v>
      </c>
      <c r="Y544" s="27">
        <v>108</v>
      </c>
      <c r="AB544" s="29"/>
      <c r="AC544" s="29"/>
      <c r="AE544" s="27">
        <v>177.298</v>
      </c>
      <c r="AF544" s="29"/>
      <c r="AI544" s="27">
        <v>108</v>
      </c>
      <c r="AL544" s="29"/>
      <c r="AM544" s="29"/>
      <c r="AO544" s="27">
        <v>139.78299999999999</v>
      </c>
      <c r="AP544" s="29"/>
    </row>
    <row r="545" spans="1:43" s="27" customFormat="1" ht="20.25" customHeight="1" x14ac:dyDescent="0.45">
      <c r="A545" s="26"/>
      <c r="B545" s="28">
        <v>63</v>
      </c>
      <c r="C545" s="27">
        <v>71.772000000000006</v>
      </c>
      <c r="D545" s="29"/>
      <c r="E545" s="29"/>
      <c r="F545" s="29"/>
      <c r="L545" s="27">
        <v>63</v>
      </c>
      <c r="O545" s="29"/>
      <c r="P545" s="29"/>
      <c r="R545" s="27">
        <v>164.69399999999999</v>
      </c>
      <c r="S545" s="29"/>
      <c r="Y545" s="27">
        <v>109</v>
      </c>
      <c r="Z545" s="29"/>
      <c r="AA545" s="27">
        <v>8.3209999999999997</v>
      </c>
      <c r="AB545" s="27">
        <f>AA546/AA545</f>
        <v>0.49092657132556183</v>
      </c>
      <c r="AC545" s="29"/>
      <c r="AI545" s="27">
        <v>109</v>
      </c>
      <c r="AL545" s="29"/>
      <c r="AM545" s="29"/>
      <c r="AO545" s="29"/>
      <c r="AP545" s="27">
        <v>10.218</v>
      </c>
      <c r="AQ545" s="27">
        <f>AP546/AP545</f>
        <v>0.34096692111959287</v>
      </c>
    </row>
    <row r="546" spans="1:43" s="27" customFormat="1" ht="20.25" customHeight="1" x14ac:dyDescent="0.45">
      <c r="A546" s="26"/>
      <c r="B546" s="28">
        <v>64</v>
      </c>
      <c r="C546" s="29"/>
      <c r="D546" s="27">
        <v>10.074999999999999</v>
      </c>
      <c r="E546" s="27">
        <f>D547/D546</f>
        <v>0.43076923076923079</v>
      </c>
      <c r="F546" s="29"/>
      <c r="L546" s="27">
        <v>64</v>
      </c>
      <c r="O546" s="29"/>
      <c r="P546" s="29"/>
      <c r="R546" s="29"/>
      <c r="S546" s="27">
        <v>8.3320000000000007</v>
      </c>
      <c r="T546" s="27">
        <f>S547/S546</f>
        <v>0.52484397503600577</v>
      </c>
      <c r="Y546" s="27">
        <v>110</v>
      </c>
      <c r="Z546" s="29"/>
      <c r="AA546" s="27">
        <v>4.085</v>
      </c>
      <c r="AB546" s="29"/>
      <c r="AC546" s="29"/>
      <c r="AI546" s="27">
        <v>110</v>
      </c>
      <c r="AL546" s="29"/>
      <c r="AM546" s="29"/>
      <c r="AO546" s="29"/>
      <c r="AP546" s="27">
        <v>3.484</v>
      </c>
    </row>
    <row r="547" spans="1:43" s="27" customFormat="1" ht="20.25" customHeight="1" x14ac:dyDescent="0.45">
      <c r="A547" s="26"/>
      <c r="B547" s="28">
        <v>65</v>
      </c>
      <c r="C547" s="29"/>
      <c r="D547" s="27">
        <v>4.34</v>
      </c>
      <c r="E547" s="29"/>
      <c r="F547" s="29"/>
      <c r="L547" s="27">
        <v>65</v>
      </c>
      <c r="O547" s="29"/>
      <c r="P547" s="29"/>
      <c r="R547" s="29"/>
      <c r="S547" s="27">
        <v>4.3730000000000002</v>
      </c>
      <c r="Y547" s="27">
        <v>111</v>
      </c>
      <c r="Z547" s="27">
        <v>41.722999999999999</v>
      </c>
      <c r="AA547" s="29"/>
      <c r="AB547" s="29"/>
      <c r="AC547" s="29"/>
      <c r="AI547" s="27">
        <v>111</v>
      </c>
      <c r="AL547" s="29"/>
      <c r="AM547" s="29"/>
      <c r="AO547" s="27">
        <v>178.10400000000001</v>
      </c>
      <c r="AP547" s="29"/>
    </row>
    <row r="548" spans="1:43" s="27" customFormat="1" ht="20.25" customHeight="1" x14ac:dyDescent="0.45">
      <c r="A548" s="26"/>
      <c r="B548" s="28">
        <v>66</v>
      </c>
      <c r="C548" s="27">
        <v>77.33</v>
      </c>
      <c r="D548" s="29"/>
      <c r="E548" s="29"/>
      <c r="F548" s="29"/>
      <c r="L548" s="27">
        <v>66</v>
      </c>
      <c r="O548" s="29"/>
      <c r="P548" s="29"/>
      <c r="R548" s="27">
        <v>153.14400000000001</v>
      </c>
      <c r="S548" s="29"/>
      <c r="Y548" s="27">
        <v>112</v>
      </c>
      <c r="AB548" s="29"/>
      <c r="AC548" s="29"/>
      <c r="AE548" s="29"/>
      <c r="AF548" s="27">
        <v>10</v>
      </c>
      <c r="AG548" s="27">
        <f>AF549/AF548</f>
        <v>0.44059999999999999</v>
      </c>
      <c r="AI548" s="27">
        <v>112</v>
      </c>
      <c r="AL548" s="29"/>
      <c r="AM548" s="29"/>
      <c r="AO548" s="29"/>
      <c r="AP548" s="27">
        <v>7.0919999999999996</v>
      </c>
      <c r="AQ548" s="27">
        <f>AP549/AP548</f>
        <v>0.57938522278623805</v>
      </c>
    </row>
    <row r="549" spans="1:43" s="27" customFormat="1" ht="20.25" customHeight="1" x14ac:dyDescent="0.45">
      <c r="A549" s="26"/>
      <c r="B549" s="28">
        <v>67</v>
      </c>
      <c r="E549" s="29"/>
      <c r="F549" s="29"/>
      <c r="H549" s="29"/>
      <c r="I549" s="27">
        <v>8.6319999999999997</v>
      </c>
      <c r="J549" s="27">
        <f>I550/I549</f>
        <v>0.64156626506024106</v>
      </c>
      <c r="L549" s="27">
        <v>67</v>
      </c>
      <c r="O549" s="29"/>
      <c r="P549" s="29"/>
      <c r="R549" s="29"/>
      <c r="S549" s="27">
        <v>7.5650000000000004</v>
      </c>
      <c r="T549" s="27">
        <f>S550/S549</f>
        <v>0.32161269001982812</v>
      </c>
      <c r="Y549" s="27">
        <v>113</v>
      </c>
      <c r="AB549" s="29"/>
      <c r="AC549" s="29"/>
      <c r="AE549" s="29"/>
      <c r="AF549" s="27">
        <v>4.4059999999999997</v>
      </c>
      <c r="AI549" s="27">
        <v>113</v>
      </c>
      <c r="AL549" s="29"/>
      <c r="AM549" s="29"/>
      <c r="AO549" s="29"/>
      <c r="AP549" s="27">
        <v>4.109</v>
      </c>
    </row>
    <row r="550" spans="1:43" s="27" customFormat="1" ht="20.25" customHeight="1" x14ac:dyDescent="0.45">
      <c r="A550" s="26"/>
      <c r="B550" s="28">
        <v>68</v>
      </c>
      <c r="E550" s="29"/>
      <c r="F550" s="29"/>
      <c r="H550" s="29"/>
      <c r="I550" s="27">
        <v>5.5380000000000003</v>
      </c>
      <c r="L550" s="27">
        <v>68</v>
      </c>
      <c r="O550" s="29"/>
      <c r="P550" s="29"/>
      <c r="R550" s="29"/>
      <c r="S550" s="27">
        <v>2.4329999999999998</v>
      </c>
      <c r="Y550" s="27">
        <v>114</v>
      </c>
      <c r="AB550" s="29"/>
      <c r="AC550" s="29"/>
      <c r="AE550" s="27">
        <v>157.809</v>
      </c>
      <c r="AF550" s="29"/>
      <c r="AI550" s="27">
        <v>114</v>
      </c>
      <c r="AL550" s="29"/>
      <c r="AM550" s="29"/>
      <c r="AO550" s="27">
        <v>168.13300000000001</v>
      </c>
      <c r="AP550" s="29"/>
    </row>
    <row r="551" spans="1:43" s="27" customFormat="1" ht="20.25" customHeight="1" x14ac:dyDescent="0.45">
      <c r="A551" s="26"/>
      <c r="B551" s="28">
        <v>69</v>
      </c>
      <c r="E551" s="29"/>
      <c r="F551" s="29"/>
      <c r="H551" s="27">
        <v>174.43</v>
      </c>
      <c r="I551" s="29"/>
      <c r="L551" s="27">
        <v>69</v>
      </c>
      <c r="O551" s="29"/>
      <c r="P551" s="29"/>
      <c r="R551" s="27">
        <v>125.471</v>
      </c>
      <c r="S551" s="29"/>
      <c r="Y551" s="27">
        <v>115</v>
      </c>
      <c r="AB551" s="29"/>
      <c r="AC551" s="29"/>
      <c r="AE551" s="29"/>
      <c r="AF551" s="27">
        <v>7.0510000000000002</v>
      </c>
      <c r="AG551" s="27">
        <f>AF552/AF551</f>
        <v>0.42178414409303649</v>
      </c>
      <c r="AI551" s="27">
        <v>115</v>
      </c>
      <c r="AJ551" s="29"/>
      <c r="AK551" s="27">
        <v>11.654</v>
      </c>
      <c r="AL551" s="27">
        <f>AK552/AK551</f>
        <v>0.36099193409987984</v>
      </c>
      <c r="AM551" s="29"/>
    </row>
    <row r="552" spans="1:43" s="27" customFormat="1" ht="20.25" customHeight="1" x14ac:dyDescent="0.45">
      <c r="A552" s="26"/>
      <c r="B552" s="28">
        <v>70</v>
      </c>
      <c r="E552" s="29"/>
      <c r="F552" s="29"/>
      <c r="H552" s="29"/>
      <c r="I552" s="27">
        <v>12.505000000000001</v>
      </c>
      <c r="J552" s="27">
        <f>I553/I552</f>
        <v>0.41407437025189919</v>
      </c>
      <c r="L552" s="27">
        <v>70</v>
      </c>
      <c r="M552" s="29"/>
      <c r="N552" s="27">
        <v>9.52</v>
      </c>
      <c r="O552" s="27">
        <f>N553/N552</f>
        <v>0.5051470588235295</v>
      </c>
      <c r="P552" s="29"/>
      <c r="Y552" s="27">
        <v>116</v>
      </c>
      <c r="AB552" s="29"/>
      <c r="AC552" s="29"/>
      <c r="AE552" s="29"/>
      <c r="AF552" s="27">
        <v>2.9740000000000002</v>
      </c>
      <c r="AI552" s="27">
        <v>116</v>
      </c>
      <c r="AJ552" s="29"/>
      <c r="AK552" s="27">
        <v>4.2069999999999999</v>
      </c>
      <c r="AL552" s="29"/>
      <c r="AM552" s="29"/>
    </row>
    <row r="553" spans="1:43" s="27" customFormat="1" ht="20.25" customHeight="1" x14ac:dyDescent="0.45">
      <c r="A553" s="26"/>
      <c r="B553" s="28">
        <v>71</v>
      </c>
      <c r="E553" s="29"/>
      <c r="F553" s="29"/>
      <c r="H553" s="29"/>
      <c r="I553" s="27">
        <v>5.1779999999999999</v>
      </c>
      <c r="L553" s="27">
        <v>71</v>
      </c>
      <c r="M553" s="29"/>
      <c r="N553" s="27">
        <v>4.8090000000000002</v>
      </c>
      <c r="O553" s="29"/>
      <c r="P553" s="29"/>
      <c r="Y553" s="27">
        <v>117</v>
      </c>
      <c r="AB553" s="29"/>
      <c r="AC553" s="29"/>
      <c r="AE553" s="27">
        <v>92.04</v>
      </c>
      <c r="AF553" s="29"/>
      <c r="AI553" s="27">
        <v>117</v>
      </c>
      <c r="AJ553" s="27">
        <v>84.07</v>
      </c>
      <c r="AK553" s="29"/>
      <c r="AL553" s="29"/>
      <c r="AM553" s="29"/>
    </row>
    <row r="554" spans="1:43" s="27" customFormat="1" ht="20.25" customHeight="1" x14ac:dyDescent="0.45">
      <c r="A554" s="26"/>
      <c r="B554" s="28">
        <v>72</v>
      </c>
      <c r="E554" s="29"/>
      <c r="F554" s="29"/>
      <c r="H554" s="27">
        <v>143.17699999999999</v>
      </c>
      <c r="I554" s="29"/>
      <c r="L554" s="27">
        <v>72</v>
      </c>
      <c r="M554" s="27">
        <v>51.203000000000003</v>
      </c>
      <c r="N554" s="29"/>
      <c r="O554" s="29"/>
      <c r="P554" s="29"/>
      <c r="Y554" s="27">
        <v>118</v>
      </c>
      <c r="Z554" s="29"/>
      <c r="AA554" s="27">
        <v>6.0830000000000002</v>
      </c>
      <c r="AB554" s="27">
        <f>AA555/AA554</f>
        <v>0.68551701463093861</v>
      </c>
      <c r="AC554" s="29"/>
      <c r="AI554" s="27">
        <v>118</v>
      </c>
      <c r="AJ554" s="29"/>
      <c r="AK554" s="27">
        <v>13.092000000000001</v>
      </c>
      <c r="AL554" s="27">
        <f>AK555/AK554</f>
        <v>0.29957225786739994</v>
      </c>
      <c r="AM554" s="29"/>
    </row>
    <row r="555" spans="1:43" s="27" customFormat="1" ht="20.25" customHeight="1" x14ac:dyDescent="0.45">
      <c r="A555" s="26"/>
      <c r="B555" s="28">
        <v>73</v>
      </c>
      <c r="E555" s="29"/>
      <c r="F555" s="29"/>
      <c r="H555" s="29"/>
      <c r="I555" s="27">
        <v>8.2189999999999994</v>
      </c>
      <c r="J555" s="27">
        <f>I556/I555</f>
        <v>0.56929066796447259</v>
      </c>
      <c r="L555" s="27">
        <v>73</v>
      </c>
      <c r="O555" s="29"/>
      <c r="P555" s="29"/>
      <c r="R555" s="29"/>
      <c r="S555" s="27">
        <v>14.281000000000001</v>
      </c>
      <c r="T555" s="27">
        <f>S556/S555</f>
        <v>0.31020236678103769</v>
      </c>
      <c r="Y555" s="27">
        <v>119</v>
      </c>
      <c r="Z555" s="29"/>
      <c r="AA555" s="27">
        <v>4.17</v>
      </c>
      <c r="AB555" s="29"/>
      <c r="AC555" s="29"/>
      <c r="AI555" s="27">
        <v>119</v>
      </c>
      <c r="AJ555" s="29"/>
      <c r="AK555" s="27">
        <v>3.9220000000000002</v>
      </c>
      <c r="AL555" s="29"/>
      <c r="AM555" s="29"/>
    </row>
    <row r="556" spans="1:43" s="27" customFormat="1" ht="20.25" customHeight="1" x14ac:dyDescent="0.45">
      <c r="A556" s="26"/>
      <c r="B556" s="28">
        <v>74</v>
      </c>
      <c r="E556" s="29"/>
      <c r="F556" s="29"/>
      <c r="H556" s="29"/>
      <c r="I556" s="27">
        <v>4.6790000000000003</v>
      </c>
      <c r="L556" s="27">
        <v>74</v>
      </c>
      <c r="O556" s="29"/>
      <c r="P556" s="29"/>
      <c r="R556" s="29"/>
      <c r="S556" s="27">
        <v>4.43</v>
      </c>
      <c r="Y556" s="27">
        <v>120</v>
      </c>
      <c r="Z556" s="27">
        <v>19.120999999999999</v>
      </c>
      <c r="AA556" s="29"/>
      <c r="AB556" s="29"/>
      <c r="AC556" s="29"/>
      <c r="AI556" s="27">
        <v>120</v>
      </c>
      <c r="AJ556" s="27">
        <v>84.843999999999994</v>
      </c>
      <c r="AK556" s="29"/>
      <c r="AL556" s="29"/>
      <c r="AM556" s="29"/>
    </row>
    <row r="557" spans="1:43" s="27" customFormat="1" ht="20.25" customHeight="1" x14ac:dyDescent="0.45">
      <c r="A557" s="26"/>
      <c r="B557" s="28">
        <v>75</v>
      </c>
      <c r="E557" s="29"/>
      <c r="F557" s="29"/>
      <c r="H557" s="27">
        <v>91.983000000000004</v>
      </c>
      <c r="I557" s="29"/>
      <c r="L557" s="27">
        <v>75</v>
      </c>
      <c r="O557" s="29"/>
      <c r="P557" s="29"/>
      <c r="R557" s="27">
        <v>177.46</v>
      </c>
      <c r="S557" s="29"/>
      <c r="Y557" s="27">
        <v>121</v>
      </c>
      <c r="Z557" s="29"/>
      <c r="AA557" s="27">
        <v>10.48</v>
      </c>
      <c r="AB557" s="27">
        <f>AA558/AA557</f>
        <v>0.34351145038167941</v>
      </c>
      <c r="AC557" s="29"/>
      <c r="AI557" s="27">
        <v>121</v>
      </c>
      <c r="AJ557" s="29"/>
      <c r="AK557" s="27">
        <v>13.984</v>
      </c>
      <c r="AL557" s="27">
        <f>AK558/AK557</f>
        <v>0.27967677345537756</v>
      </c>
      <c r="AM557" s="29"/>
    </row>
    <row r="558" spans="1:43" s="27" customFormat="1" ht="20.25" customHeight="1" x14ac:dyDescent="0.45">
      <c r="A558" s="26"/>
      <c r="B558" s="28">
        <v>76</v>
      </c>
      <c r="E558" s="29"/>
      <c r="F558" s="29"/>
      <c r="H558" s="29"/>
      <c r="I558" s="27">
        <v>8.4209999999999994</v>
      </c>
      <c r="J558" s="27">
        <f>I559/I558</f>
        <v>0.43391521197007482</v>
      </c>
      <c r="L558" s="27">
        <v>76</v>
      </c>
      <c r="M558" s="29"/>
      <c r="N558" s="27">
        <v>8.6319999999999997</v>
      </c>
      <c r="O558" s="27">
        <f>N559/N558</f>
        <v>0.41102873030583875</v>
      </c>
      <c r="P558" s="29"/>
      <c r="Y558" s="27">
        <v>122</v>
      </c>
      <c r="Z558" s="29"/>
      <c r="AA558" s="27">
        <v>3.6</v>
      </c>
      <c r="AB558" s="29"/>
      <c r="AC558" s="29"/>
      <c r="AI558" s="27">
        <v>122</v>
      </c>
      <c r="AJ558" s="29"/>
      <c r="AK558" s="27">
        <v>3.911</v>
      </c>
      <c r="AL558" s="29"/>
      <c r="AM558" s="29"/>
    </row>
    <row r="559" spans="1:43" s="27" customFormat="1" ht="20.25" customHeight="1" x14ac:dyDescent="0.45">
      <c r="A559" s="26"/>
      <c r="B559" s="28">
        <v>77</v>
      </c>
      <c r="E559" s="29"/>
      <c r="F559" s="29"/>
      <c r="H559" s="29"/>
      <c r="I559" s="27">
        <v>3.6539999999999999</v>
      </c>
      <c r="L559" s="27">
        <v>77</v>
      </c>
      <c r="M559" s="29"/>
      <c r="N559" s="27">
        <v>3.548</v>
      </c>
      <c r="O559" s="29"/>
      <c r="P559" s="29"/>
      <c r="Y559" s="27">
        <v>123</v>
      </c>
      <c r="Z559" s="27">
        <v>13.381</v>
      </c>
      <c r="AA559" s="29"/>
      <c r="AB559" s="29"/>
      <c r="AC559" s="29"/>
      <c r="AI559" s="27">
        <v>123</v>
      </c>
      <c r="AJ559" s="27">
        <v>84.858999999999995</v>
      </c>
      <c r="AK559" s="29"/>
      <c r="AL559" s="29"/>
      <c r="AM559" s="29"/>
    </row>
    <row r="560" spans="1:43" s="27" customFormat="1" ht="20.25" customHeight="1" x14ac:dyDescent="0.45">
      <c r="A560" s="26"/>
      <c r="B560" s="28">
        <v>78</v>
      </c>
      <c r="E560" s="29"/>
      <c r="F560" s="29"/>
      <c r="H560" s="27">
        <v>99.429000000000002</v>
      </c>
      <c r="I560" s="29"/>
      <c r="L560" s="27">
        <v>78</v>
      </c>
      <c r="M560" s="27">
        <v>52.720999999999997</v>
      </c>
      <c r="N560" s="29"/>
      <c r="O560" s="29"/>
      <c r="P560" s="29"/>
      <c r="Y560" s="27">
        <v>124</v>
      </c>
      <c r="Z560" s="29"/>
      <c r="AA560" s="27">
        <v>6.2859999999999996</v>
      </c>
      <c r="AB560" s="27">
        <f>AA561/AA560</f>
        <v>0.90152720330894054</v>
      </c>
      <c r="AC560" s="29"/>
      <c r="AI560" s="27">
        <v>124</v>
      </c>
      <c r="AJ560" s="29"/>
      <c r="AK560" s="27">
        <v>6.907</v>
      </c>
      <c r="AL560" s="27">
        <f>AK561/AK560</f>
        <v>0.71405820182423629</v>
      </c>
      <c r="AM560" s="29"/>
    </row>
    <row r="561" spans="1:43" s="27" customFormat="1" ht="20.25" customHeight="1" x14ac:dyDescent="0.45">
      <c r="A561" s="26"/>
      <c r="B561" s="28">
        <v>79</v>
      </c>
      <c r="C561" s="29"/>
      <c r="D561" s="27">
        <v>7.7060000000000004</v>
      </c>
      <c r="E561" s="27">
        <f>D562/D561</f>
        <v>0.58370101219828707</v>
      </c>
      <c r="F561" s="29"/>
      <c r="L561" s="27">
        <v>79</v>
      </c>
      <c r="O561" s="29"/>
      <c r="P561" s="29"/>
      <c r="R561" s="29"/>
      <c r="S561" s="27">
        <v>6.556</v>
      </c>
      <c r="T561" s="27">
        <f>S562/S561</f>
        <v>0.50823672971323974</v>
      </c>
      <c r="Y561" s="27">
        <v>125</v>
      </c>
      <c r="Z561" s="29"/>
      <c r="AA561" s="27">
        <v>5.6669999999999998</v>
      </c>
      <c r="AB561" s="29"/>
      <c r="AC561" s="29"/>
      <c r="AI561" s="27">
        <v>125</v>
      </c>
      <c r="AJ561" s="29"/>
      <c r="AK561" s="27">
        <v>4.9320000000000004</v>
      </c>
      <c r="AL561" s="29"/>
      <c r="AM561" s="29"/>
    </row>
    <row r="562" spans="1:43" s="27" customFormat="1" ht="20.25" customHeight="1" x14ac:dyDescent="0.45">
      <c r="A562" s="26"/>
      <c r="B562" s="28">
        <v>80</v>
      </c>
      <c r="C562" s="29"/>
      <c r="D562" s="27">
        <v>4.4980000000000002</v>
      </c>
      <c r="E562" s="29"/>
      <c r="F562" s="29"/>
      <c r="L562" s="27">
        <v>80</v>
      </c>
      <c r="O562" s="29"/>
      <c r="P562" s="29"/>
      <c r="R562" s="29"/>
      <c r="S562" s="27">
        <v>3.3319999999999999</v>
      </c>
      <c r="Y562" s="27">
        <v>126</v>
      </c>
      <c r="Z562" s="27">
        <v>81.525000000000006</v>
      </c>
      <c r="AA562" s="29"/>
      <c r="AB562" s="29"/>
      <c r="AC562" s="29"/>
      <c r="AI562" s="27">
        <v>126</v>
      </c>
      <c r="AJ562" s="27">
        <v>87.393000000000001</v>
      </c>
      <c r="AK562" s="29"/>
      <c r="AL562" s="29"/>
      <c r="AM562" s="29"/>
    </row>
    <row r="563" spans="1:43" s="27" customFormat="1" ht="20.25" customHeight="1" x14ac:dyDescent="0.45">
      <c r="A563" s="26"/>
      <c r="B563" s="28">
        <v>81</v>
      </c>
      <c r="C563" s="27">
        <v>88.287999999999997</v>
      </c>
      <c r="D563" s="29"/>
      <c r="E563" s="29"/>
      <c r="F563" s="29"/>
      <c r="L563" s="27">
        <v>81</v>
      </c>
      <c r="O563" s="29"/>
      <c r="P563" s="29"/>
      <c r="R563" s="27">
        <v>112.286</v>
      </c>
      <c r="S563" s="29"/>
      <c r="Y563" s="27">
        <v>127</v>
      </c>
      <c r="AB563" s="29"/>
      <c r="AC563" s="29"/>
      <c r="AE563" s="29"/>
      <c r="AF563" s="27">
        <v>8.0920000000000005</v>
      </c>
      <c r="AG563" s="27">
        <f>AF564/AF563</f>
        <v>0.41596638655462181</v>
      </c>
      <c r="AI563" s="27">
        <v>127</v>
      </c>
      <c r="AJ563" s="29"/>
      <c r="AK563" s="27">
        <v>13.787000000000001</v>
      </c>
      <c r="AL563" s="27">
        <f>AK564/AK563</f>
        <v>0.25146877493290781</v>
      </c>
      <c r="AM563" s="29"/>
    </row>
    <row r="564" spans="1:43" s="27" customFormat="1" ht="20.25" customHeight="1" x14ac:dyDescent="0.45">
      <c r="A564" s="26"/>
      <c r="B564" s="28">
        <v>82</v>
      </c>
      <c r="C564" s="29"/>
      <c r="D564" s="27">
        <v>9.4939999999999998</v>
      </c>
      <c r="E564" s="27">
        <f>D565/D564</f>
        <v>0.36696861175479251</v>
      </c>
      <c r="F564" s="29"/>
      <c r="L564" s="27">
        <v>82</v>
      </c>
      <c r="M564" s="29"/>
      <c r="N564" s="27">
        <v>7.1440000000000001</v>
      </c>
      <c r="O564" s="27">
        <f>N565/N564</f>
        <v>0.43239081746920494</v>
      </c>
      <c r="P564" s="29"/>
      <c r="Y564" s="27">
        <v>128</v>
      </c>
      <c r="AB564" s="29"/>
      <c r="AC564" s="29"/>
      <c r="AE564" s="29"/>
      <c r="AF564" s="27">
        <v>3.3660000000000001</v>
      </c>
      <c r="AI564" s="27">
        <v>128</v>
      </c>
      <c r="AJ564" s="29"/>
      <c r="AK564" s="27">
        <v>3.4670000000000001</v>
      </c>
      <c r="AL564" s="29"/>
      <c r="AM564" s="29"/>
    </row>
    <row r="565" spans="1:43" s="27" customFormat="1" ht="20.25" customHeight="1" x14ac:dyDescent="0.45">
      <c r="A565" s="26"/>
      <c r="B565" s="28">
        <v>83</v>
      </c>
      <c r="C565" s="29"/>
      <c r="D565" s="27">
        <v>3.484</v>
      </c>
      <c r="E565" s="29"/>
      <c r="F565" s="29"/>
      <c r="L565" s="27">
        <v>83</v>
      </c>
      <c r="M565" s="29"/>
      <c r="N565" s="27">
        <v>3.089</v>
      </c>
      <c r="O565" s="29"/>
      <c r="P565" s="29"/>
      <c r="Y565" s="27">
        <v>129</v>
      </c>
      <c r="AB565" s="29"/>
      <c r="AC565" s="29"/>
      <c r="AE565" s="27">
        <v>94.603999999999999</v>
      </c>
      <c r="AF565" s="29"/>
      <c r="AI565" s="27">
        <v>129</v>
      </c>
      <c r="AJ565" s="27">
        <v>87.245999999999995</v>
      </c>
      <c r="AK565" s="29"/>
      <c r="AL565" s="29"/>
      <c r="AM565" s="29"/>
    </row>
    <row r="566" spans="1:43" s="27" customFormat="1" ht="20.25" customHeight="1" x14ac:dyDescent="0.45">
      <c r="A566" s="26"/>
      <c r="B566" s="28">
        <v>84</v>
      </c>
      <c r="C566" s="27">
        <v>27.896999999999998</v>
      </c>
      <c r="D566" s="29"/>
      <c r="E566" s="29"/>
      <c r="F566" s="29"/>
      <c r="L566" s="27">
        <v>84</v>
      </c>
      <c r="M566" s="27">
        <v>67.165999999999997</v>
      </c>
      <c r="N566" s="29"/>
      <c r="O566" s="29"/>
      <c r="P566" s="29"/>
      <c r="Y566" s="27">
        <v>130</v>
      </c>
      <c r="AB566" s="29"/>
      <c r="AC566" s="29"/>
      <c r="AE566" s="29"/>
      <c r="AF566" s="27">
        <v>7.3090000000000002</v>
      </c>
      <c r="AG566" s="27">
        <f>AF567/AF566</f>
        <v>0.50745656040498011</v>
      </c>
      <c r="AI566" s="27">
        <v>130</v>
      </c>
      <c r="AJ566" s="29"/>
      <c r="AK566" s="27">
        <v>11.584</v>
      </c>
      <c r="AL566" s="27">
        <f>AK567/AK566</f>
        <v>0.3595476519337017</v>
      </c>
      <c r="AM566" s="29"/>
    </row>
    <row r="567" spans="1:43" s="27" customFormat="1" ht="20.25" customHeight="1" x14ac:dyDescent="0.45">
      <c r="A567" s="26"/>
      <c r="B567" s="28">
        <v>85</v>
      </c>
      <c r="E567" s="29"/>
      <c r="F567" s="29"/>
      <c r="H567" s="29"/>
      <c r="I567" s="27">
        <v>10.356999999999999</v>
      </c>
      <c r="J567" s="27">
        <f>I568/I567</f>
        <v>0.441440571594091</v>
      </c>
      <c r="L567" s="27">
        <v>85</v>
      </c>
      <c r="O567" s="29"/>
      <c r="P567" s="29"/>
      <c r="R567" s="29"/>
      <c r="S567" s="27">
        <v>12.561999999999999</v>
      </c>
      <c r="T567" s="27">
        <f>S568/S567</f>
        <v>0.33816271294379879</v>
      </c>
      <c r="Y567" s="27">
        <v>131</v>
      </c>
      <c r="AB567" s="29"/>
      <c r="AC567" s="29"/>
      <c r="AE567" s="29"/>
      <c r="AF567" s="27">
        <v>3.7090000000000001</v>
      </c>
      <c r="AI567" s="27">
        <v>131</v>
      </c>
      <c r="AJ567" s="29"/>
      <c r="AK567" s="27">
        <v>4.165</v>
      </c>
      <c r="AL567" s="29"/>
      <c r="AM567" s="29"/>
    </row>
    <row r="568" spans="1:43" s="27" customFormat="1" ht="20.25" customHeight="1" x14ac:dyDescent="0.45">
      <c r="A568" s="26"/>
      <c r="B568" s="28">
        <v>86</v>
      </c>
      <c r="E568" s="29"/>
      <c r="F568" s="29"/>
      <c r="H568" s="29"/>
      <c r="I568" s="27">
        <v>4.5720000000000001</v>
      </c>
      <c r="L568" s="27">
        <v>86</v>
      </c>
      <c r="O568" s="29"/>
      <c r="P568" s="29"/>
      <c r="R568" s="29"/>
      <c r="S568" s="27">
        <v>4.2480000000000002</v>
      </c>
      <c r="Y568" s="27">
        <v>132</v>
      </c>
      <c r="AB568" s="29"/>
      <c r="AC568" s="29"/>
      <c r="AE568" s="27">
        <v>115.366</v>
      </c>
      <c r="AF568" s="29"/>
      <c r="AI568" s="27">
        <v>132</v>
      </c>
      <c r="AJ568" s="27">
        <v>54.518999999999998</v>
      </c>
      <c r="AK568" s="29"/>
      <c r="AL568" s="29"/>
      <c r="AM568" s="29"/>
    </row>
    <row r="569" spans="1:43" s="27" customFormat="1" ht="20.25" customHeight="1" x14ac:dyDescent="0.45">
      <c r="A569" s="26"/>
      <c r="B569" s="28">
        <v>87</v>
      </c>
      <c r="E569" s="29"/>
      <c r="F569" s="29"/>
      <c r="H569" s="27">
        <v>140.6</v>
      </c>
      <c r="I569" s="29"/>
      <c r="L569" s="27">
        <v>87</v>
      </c>
      <c r="O569" s="29"/>
      <c r="P569" s="29"/>
      <c r="R569" s="27">
        <v>149.702</v>
      </c>
      <c r="S569" s="29"/>
      <c r="Y569" s="27">
        <v>133</v>
      </c>
      <c r="Z569" s="29"/>
      <c r="AA569" s="27">
        <v>9.7729999999999997</v>
      </c>
      <c r="AB569" s="27">
        <f>AA570/AA569</f>
        <v>0.35731095876394148</v>
      </c>
      <c r="AC569" s="29"/>
      <c r="AI569" s="27">
        <v>133</v>
      </c>
      <c r="AJ569" s="29"/>
      <c r="AK569" s="27">
        <v>11.923</v>
      </c>
      <c r="AL569" s="27">
        <f>AK570/AK569</f>
        <v>0.27375660488132181</v>
      </c>
      <c r="AM569" s="29"/>
    </row>
    <row r="570" spans="1:43" s="27" customFormat="1" ht="20.25" customHeight="1" x14ac:dyDescent="0.45">
      <c r="A570" s="26"/>
      <c r="B570" s="28">
        <v>88</v>
      </c>
      <c r="E570" s="29"/>
      <c r="F570" s="29"/>
      <c r="H570" s="29"/>
      <c r="I570" s="27">
        <v>12.403</v>
      </c>
      <c r="J570" s="27">
        <f>I571/I570</f>
        <v>0.4889945980811094</v>
      </c>
      <c r="L570" s="27">
        <v>88</v>
      </c>
      <c r="O570" s="29"/>
      <c r="P570" s="29"/>
      <c r="R570" s="29"/>
      <c r="S570" s="27">
        <v>11.845000000000001</v>
      </c>
      <c r="T570" s="27">
        <f>S571/S570</f>
        <v>0.44491346559729839</v>
      </c>
      <c r="Y570" s="27">
        <v>134</v>
      </c>
      <c r="Z570" s="29"/>
      <c r="AA570" s="27">
        <v>3.492</v>
      </c>
      <c r="AB570" s="29"/>
      <c r="AC570" s="29"/>
      <c r="AI570" s="27">
        <v>134</v>
      </c>
      <c r="AJ570" s="29"/>
      <c r="AK570" s="27">
        <v>3.2639999999999998</v>
      </c>
      <c r="AL570" s="29"/>
      <c r="AM570" s="29"/>
    </row>
    <row r="571" spans="1:43" s="27" customFormat="1" ht="20.25" customHeight="1" x14ac:dyDescent="0.45">
      <c r="A571" s="26"/>
      <c r="B571" s="28">
        <v>89</v>
      </c>
      <c r="E571" s="29"/>
      <c r="F571" s="29"/>
      <c r="H571" s="29"/>
      <c r="I571" s="27">
        <v>6.0650000000000004</v>
      </c>
      <c r="L571" s="27">
        <v>89</v>
      </c>
      <c r="O571" s="29"/>
      <c r="P571" s="29"/>
      <c r="R571" s="29"/>
      <c r="S571" s="27">
        <v>5.27</v>
      </c>
      <c r="Y571" s="27">
        <v>135</v>
      </c>
      <c r="Z571" s="27">
        <v>74.277000000000001</v>
      </c>
      <c r="AA571" s="29"/>
      <c r="AB571" s="29"/>
      <c r="AC571" s="29"/>
      <c r="AI571" s="27">
        <v>135</v>
      </c>
      <c r="AJ571" s="27">
        <v>82.688999999999993</v>
      </c>
      <c r="AK571" s="29"/>
      <c r="AL571" s="29"/>
      <c r="AM571" s="29"/>
    </row>
    <row r="572" spans="1:43" s="27" customFormat="1" ht="20.25" customHeight="1" x14ac:dyDescent="0.45">
      <c r="A572" s="26"/>
      <c r="B572" s="28">
        <v>90</v>
      </c>
      <c r="E572" s="29"/>
      <c r="F572" s="29"/>
      <c r="H572" s="27">
        <v>171.79</v>
      </c>
      <c r="I572" s="29"/>
      <c r="L572" s="27">
        <v>90</v>
      </c>
      <c r="O572" s="29"/>
      <c r="P572" s="29"/>
      <c r="R572" s="27">
        <v>147.458</v>
      </c>
      <c r="S572" s="29"/>
      <c r="Y572" s="27">
        <v>136</v>
      </c>
      <c r="Z572" s="29"/>
      <c r="AA572" s="27">
        <v>8.4819999999999993</v>
      </c>
      <c r="AB572" s="27">
        <f>AA573/AA572</f>
        <v>0.38528648903560481</v>
      </c>
      <c r="AC572" s="29"/>
      <c r="AI572" s="27">
        <v>136</v>
      </c>
      <c r="AL572" s="29"/>
      <c r="AM572" s="29"/>
      <c r="AO572" s="29"/>
      <c r="AP572" s="27">
        <v>9.1969999999999992</v>
      </c>
      <c r="AQ572" s="27">
        <f>AP573/AP572</f>
        <v>0.43481570077199094</v>
      </c>
    </row>
    <row r="573" spans="1:43" s="27" customFormat="1" ht="20.25" customHeight="1" x14ac:dyDescent="0.45">
      <c r="A573" s="26"/>
      <c r="B573" s="28">
        <v>91</v>
      </c>
      <c r="E573" s="29"/>
      <c r="F573" s="29"/>
      <c r="H573" s="29"/>
      <c r="I573" s="27">
        <v>12.255000000000001</v>
      </c>
      <c r="J573" s="27">
        <f>I574/I573</f>
        <v>0.44112607099143203</v>
      </c>
      <c r="L573" s="27">
        <v>91</v>
      </c>
      <c r="M573" s="29"/>
      <c r="N573" s="27">
        <v>6.7640000000000002</v>
      </c>
      <c r="O573" s="27">
        <f>N574/N573</f>
        <v>0.69086339444115907</v>
      </c>
      <c r="P573" s="29"/>
      <c r="Y573" s="27">
        <v>137</v>
      </c>
      <c r="Z573" s="29"/>
      <c r="AA573" s="27">
        <v>3.2679999999999998</v>
      </c>
      <c r="AB573" s="29"/>
      <c r="AC573" s="29"/>
      <c r="AI573" s="27">
        <v>137</v>
      </c>
      <c r="AL573" s="29"/>
      <c r="AM573" s="29"/>
      <c r="AO573" s="29"/>
      <c r="AP573" s="27">
        <v>3.9990000000000001</v>
      </c>
    </row>
    <row r="574" spans="1:43" s="27" customFormat="1" ht="20.25" customHeight="1" x14ac:dyDescent="0.45">
      <c r="A574" s="26"/>
      <c r="B574" s="28">
        <v>92</v>
      </c>
      <c r="E574" s="29"/>
      <c r="F574" s="29"/>
      <c r="H574" s="29"/>
      <c r="I574" s="27">
        <v>5.4059999999999997</v>
      </c>
      <c r="L574" s="27">
        <v>92</v>
      </c>
      <c r="M574" s="29"/>
      <c r="N574" s="27">
        <v>4.673</v>
      </c>
      <c r="O574" s="29"/>
      <c r="P574" s="29"/>
      <c r="Y574" s="27">
        <v>138</v>
      </c>
      <c r="Z574" s="27">
        <v>11.647</v>
      </c>
      <c r="AA574" s="29"/>
      <c r="AB574" s="29"/>
      <c r="AC574" s="29"/>
      <c r="AI574" s="27">
        <v>138</v>
      </c>
      <c r="AL574" s="29"/>
      <c r="AM574" s="29"/>
      <c r="AO574" s="27">
        <v>155.91800000000001</v>
      </c>
      <c r="AP574" s="29"/>
    </row>
    <row r="575" spans="1:43" s="27" customFormat="1" ht="20.25" customHeight="1" x14ac:dyDescent="0.45">
      <c r="A575" s="26"/>
      <c r="B575" s="28">
        <v>93</v>
      </c>
      <c r="E575" s="29"/>
      <c r="F575" s="29"/>
      <c r="H575" s="27">
        <v>153.94</v>
      </c>
      <c r="I575" s="29"/>
      <c r="L575" s="27">
        <v>93</v>
      </c>
      <c r="M575" s="27">
        <v>54.595999999999997</v>
      </c>
      <c r="N575" s="29"/>
      <c r="O575" s="29"/>
      <c r="P575" s="29"/>
      <c r="Y575" s="27">
        <v>139</v>
      </c>
      <c r="Z575" s="29"/>
      <c r="AA575" s="27">
        <v>12.964</v>
      </c>
      <c r="AB575" s="27">
        <f>AA576/AA575</f>
        <v>0.26226473310706572</v>
      </c>
      <c r="AC575" s="29"/>
      <c r="AJ575" s="27">
        <f>AJ571+AJ568+AJ565+AJ562+AJ559+AJ556+AJ553+AJ541+AJ538+AJ529+AJ517+AJ511+AJ508+AJ505+AJ502+AJ499+AJ496+AJ484+AJ481+AJ478+AJ472+AJ469+AJ466+AJ463+AJ460+AJ457+AJ454+AJ451+AJ448+AJ442+AJ439</f>
        <v>2130.9450000000002</v>
      </c>
      <c r="AL575" s="27">
        <f>SUM(AL437:AL574)</f>
        <v>13.831604496519853</v>
      </c>
      <c r="AO575" s="27">
        <f>AO574+AO550+AO547+AO544+AO535+AO532+AO526+AO523+AO520+AO514+AO493+AO490+AO487+AO475+AO445</f>
        <v>2217.6320000000001</v>
      </c>
      <c r="AQ575" s="27">
        <f>SUM(AQ439:AQ572)</f>
        <v>6.9136829731186245</v>
      </c>
    </row>
    <row r="576" spans="1:43" s="27" customFormat="1" ht="20.25" customHeight="1" x14ac:dyDescent="0.45">
      <c r="A576" s="26"/>
      <c r="B576" s="28">
        <v>94</v>
      </c>
      <c r="E576" s="29"/>
      <c r="F576" s="29"/>
      <c r="H576" s="29"/>
      <c r="I576" s="27">
        <v>9.0039999999999996</v>
      </c>
      <c r="J576" s="27">
        <f>I577/I576</f>
        <v>0.5630830741892493</v>
      </c>
      <c r="L576" s="27">
        <v>94</v>
      </c>
      <c r="M576" s="29"/>
      <c r="N576" s="27">
        <v>12.151</v>
      </c>
      <c r="O576" s="27">
        <f>N577/N576</f>
        <v>0.48942473870463338</v>
      </c>
      <c r="P576" s="29"/>
      <c r="Y576" s="27">
        <v>140</v>
      </c>
      <c r="Z576" s="29"/>
      <c r="AA576" s="27">
        <v>3.4</v>
      </c>
      <c r="AB576" s="29"/>
      <c r="AC576" s="29"/>
      <c r="AJ576" s="27">
        <f>(AJ575/31)</f>
        <v>68.74016129032259</v>
      </c>
      <c r="AL576" s="27">
        <f>AL575/31</f>
        <v>0.44618079021031787</v>
      </c>
      <c r="AO576" s="27">
        <f>(AO575-(90*15))/15</f>
        <v>57.842133333333337</v>
      </c>
      <c r="AQ576" s="27">
        <f>AQ575/15</f>
        <v>0.4609121982079083</v>
      </c>
    </row>
    <row r="577" spans="1:33" s="27" customFormat="1" ht="20.25" customHeight="1" x14ac:dyDescent="0.45">
      <c r="A577" s="26"/>
      <c r="B577" s="28">
        <v>95</v>
      </c>
      <c r="E577" s="29"/>
      <c r="F577" s="29"/>
      <c r="H577" s="29"/>
      <c r="I577" s="27">
        <v>5.07</v>
      </c>
      <c r="L577" s="27">
        <v>95</v>
      </c>
      <c r="M577" s="29"/>
      <c r="N577" s="27">
        <v>5.9470000000000001</v>
      </c>
      <c r="O577" s="29"/>
      <c r="P577" s="29"/>
      <c r="Y577" s="27">
        <v>141</v>
      </c>
      <c r="Z577" s="27">
        <v>83.796999999999997</v>
      </c>
      <c r="AA577" s="29"/>
      <c r="AB577" s="29"/>
      <c r="AC577" s="29"/>
    </row>
    <row r="578" spans="1:33" s="27" customFormat="1" ht="20.25" customHeight="1" x14ac:dyDescent="0.45">
      <c r="A578" s="26"/>
      <c r="B578" s="28">
        <v>96</v>
      </c>
      <c r="E578" s="29"/>
      <c r="F578" s="29"/>
      <c r="H578" s="27">
        <v>116.565</v>
      </c>
      <c r="I578" s="29"/>
      <c r="L578" s="27">
        <v>96</v>
      </c>
      <c r="M578" s="27">
        <v>65.358000000000004</v>
      </c>
      <c r="N578" s="29"/>
      <c r="O578" s="29"/>
      <c r="P578" s="29"/>
      <c r="Y578" s="27">
        <v>142</v>
      </c>
      <c r="AB578" s="29"/>
      <c r="AC578" s="29"/>
      <c r="AE578" s="29"/>
      <c r="AF578" s="27">
        <v>5.9340000000000002</v>
      </c>
      <c r="AG578" s="27">
        <f>AF579/AF578</f>
        <v>0.71587462082912035</v>
      </c>
    </row>
    <row r="579" spans="1:33" s="27" customFormat="1" ht="20.25" customHeight="1" x14ac:dyDescent="0.45">
      <c r="A579" s="26"/>
      <c r="B579" s="28">
        <v>97</v>
      </c>
      <c r="C579" s="29"/>
      <c r="D579" s="27">
        <v>11.717000000000001</v>
      </c>
      <c r="E579" s="27">
        <f>D580/D579</f>
        <v>0.40351625842792521</v>
      </c>
      <c r="F579" s="29"/>
      <c r="L579" s="27">
        <v>97</v>
      </c>
      <c r="M579" s="29"/>
      <c r="N579" s="27">
        <v>7.4489999999999998</v>
      </c>
      <c r="O579" s="27">
        <f>N580/N579</f>
        <v>0.71257886964693251</v>
      </c>
      <c r="P579" s="29"/>
      <c r="Y579" s="27">
        <v>143</v>
      </c>
      <c r="AB579" s="29"/>
      <c r="AC579" s="29"/>
      <c r="AE579" s="29"/>
      <c r="AF579" s="27">
        <v>4.2480000000000002</v>
      </c>
    </row>
    <row r="580" spans="1:33" s="27" customFormat="1" ht="20.25" customHeight="1" x14ac:dyDescent="0.45">
      <c r="A580" s="26"/>
      <c r="B580" s="28">
        <v>98</v>
      </c>
      <c r="C580" s="29"/>
      <c r="D580" s="27">
        <v>4.7279999999999998</v>
      </c>
      <c r="E580" s="29"/>
      <c r="F580" s="29"/>
      <c r="L580" s="27">
        <v>98</v>
      </c>
      <c r="M580" s="29"/>
      <c r="N580" s="27">
        <v>5.3079999999999998</v>
      </c>
      <c r="O580" s="29"/>
      <c r="P580" s="29"/>
      <c r="Y580" s="27">
        <v>144</v>
      </c>
      <c r="AB580" s="29"/>
      <c r="AC580" s="29"/>
      <c r="AE580" s="27">
        <v>178.68899999999999</v>
      </c>
      <c r="AF580" s="29"/>
    </row>
    <row r="581" spans="1:33" s="27" customFormat="1" ht="20.25" customHeight="1" x14ac:dyDescent="0.45">
      <c r="A581" s="26"/>
      <c r="B581" s="28">
        <v>99</v>
      </c>
      <c r="C581" s="27">
        <v>73.188999999999993</v>
      </c>
      <c r="D581" s="29"/>
      <c r="E581" s="29"/>
      <c r="F581" s="29"/>
      <c r="L581" s="27">
        <v>99</v>
      </c>
      <c r="M581" s="27">
        <v>80.778999999999996</v>
      </c>
      <c r="N581" s="29"/>
      <c r="O581" s="29"/>
      <c r="P581" s="29"/>
      <c r="Y581" s="27">
        <v>145</v>
      </c>
      <c r="AB581" s="29"/>
      <c r="AC581" s="29"/>
      <c r="AE581" s="29"/>
      <c r="AF581" s="27">
        <v>6.8310000000000004</v>
      </c>
      <c r="AG581" s="27">
        <f>AF582/AF581</f>
        <v>0.64880690967647492</v>
      </c>
    </row>
    <row r="582" spans="1:33" s="27" customFormat="1" ht="20.25" customHeight="1" x14ac:dyDescent="0.45">
      <c r="A582" s="26"/>
      <c r="B582" s="28">
        <v>100</v>
      </c>
      <c r="C582" s="29"/>
      <c r="D582" s="27">
        <v>8.6720000000000006</v>
      </c>
      <c r="E582" s="27">
        <f>D583/D582</f>
        <v>0.46471402214022139</v>
      </c>
      <c r="F582" s="29"/>
      <c r="L582" s="27">
        <v>100</v>
      </c>
      <c r="M582" s="29"/>
      <c r="N582" s="27">
        <v>8.8360000000000003</v>
      </c>
      <c r="O582" s="27">
        <f>N583/N582</f>
        <v>0.56337709370755995</v>
      </c>
      <c r="P582" s="29"/>
      <c r="Y582" s="27">
        <v>146</v>
      </c>
      <c r="AB582" s="29"/>
      <c r="AC582" s="29"/>
      <c r="AE582" s="29"/>
      <c r="AF582" s="27">
        <v>4.4320000000000004</v>
      </c>
    </row>
    <row r="583" spans="1:33" s="27" customFormat="1" ht="20.25" customHeight="1" x14ac:dyDescent="0.45">
      <c r="A583" s="26"/>
      <c r="B583" s="28">
        <v>101</v>
      </c>
      <c r="C583" s="29"/>
      <c r="D583" s="27">
        <v>4.03</v>
      </c>
      <c r="E583" s="29"/>
      <c r="F583" s="29"/>
      <c r="L583" s="27">
        <v>101</v>
      </c>
      <c r="M583" s="29"/>
      <c r="N583" s="27">
        <v>4.9779999999999998</v>
      </c>
      <c r="O583" s="29"/>
      <c r="P583" s="29"/>
      <c r="Y583" s="27">
        <v>147</v>
      </c>
      <c r="AB583" s="29"/>
      <c r="AC583" s="29"/>
      <c r="AE583" s="27">
        <v>111.902</v>
      </c>
      <c r="AF583" s="29"/>
    </row>
    <row r="584" spans="1:33" s="27" customFormat="1" ht="20.25" customHeight="1" x14ac:dyDescent="0.45">
      <c r="A584" s="26"/>
      <c r="B584" s="28">
        <v>102</v>
      </c>
      <c r="C584" s="27">
        <v>39.030999999999999</v>
      </c>
      <c r="D584" s="29"/>
      <c r="E584" s="29"/>
      <c r="F584" s="29"/>
      <c r="L584" s="27">
        <v>102</v>
      </c>
      <c r="M584" s="27">
        <v>87.656999999999996</v>
      </c>
      <c r="N584" s="29"/>
      <c r="O584" s="29"/>
      <c r="P584" s="29"/>
      <c r="Y584" s="27">
        <v>148</v>
      </c>
      <c r="Z584" s="29"/>
      <c r="AA584" s="27">
        <v>8.5220000000000002</v>
      </c>
      <c r="AB584" s="27">
        <f>AA585/AA584</f>
        <v>0.45048110772119221</v>
      </c>
      <c r="AC584" s="29"/>
    </row>
    <row r="585" spans="1:33" s="27" customFormat="1" ht="20.25" customHeight="1" x14ac:dyDescent="0.45">
      <c r="A585" s="26"/>
      <c r="B585" s="28">
        <v>103</v>
      </c>
      <c r="E585" s="29"/>
      <c r="F585" s="29"/>
      <c r="H585" s="29"/>
      <c r="I585" s="27">
        <v>5.532</v>
      </c>
      <c r="J585" s="27">
        <f>I586/I585</f>
        <v>0.75253073029645701</v>
      </c>
      <c r="L585" s="27">
        <v>103</v>
      </c>
      <c r="M585" s="29"/>
      <c r="N585" s="27">
        <v>9.7569999999999997</v>
      </c>
      <c r="O585" s="27">
        <f>N586/N585</f>
        <v>0.52423900789177003</v>
      </c>
      <c r="P585" s="29"/>
      <c r="Y585" s="27">
        <v>149</v>
      </c>
      <c r="Z585" s="29"/>
      <c r="AA585" s="27">
        <v>3.839</v>
      </c>
      <c r="AB585" s="29"/>
      <c r="AC585" s="29"/>
    </row>
    <row r="586" spans="1:33" s="27" customFormat="1" ht="20.25" customHeight="1" x14ac:dyDescent="0.45">
      <c r="A586" s="26"/>
      <c r="B586" s="28">
        <v>104</v>
      </c>
      <c r="E586" s="29"/>
      <c r="F586" s="29"/>
      <c r="H586" s="29"/>
      <c r="I586" s="27">
        <v>4.1630000000000003</v>
      </c>
      <c r="L586" s="27">
        <v>104</v>
      </c>
      <c r="M586" s="29"/>
      <c r="N586" s="27">
        <v>5.1150000000000002</v>
      </c>
      <c r="O586" s="29"/>
      <c r="P586" s="29"/>
      <c r="Y586" s="27">
        <v>150</v>
      </c>
      <c r="Z586" s="27">
        <v>87.146000000000001</v>
      </c>
      <c r="AA586" s="29"/>
      <c r="AB586" s="29"/>
      <c r="AC586" s="29"/>
    </row>
    <row r="587" spans="1:33" s="27" customFormat="1" ht="20.25" customHeight="1" x14ac:dyDescent="0.45">
      <c r="A587" s="26"/>
      <c r="B587" s="28">
        <v>105</v>
      </c>
      <c r="E587" s="29"/>
      <c r="F587" s="29"/>
      <c r="H587" s="27">
        <v>171.64400000000001</v>
      </c>
      <c r="I587" s="29"/>
      <c r="L587" s="27">
        <v>105</v>
      </c>
      <c r="M587" s="27">
        <v>47.567999999999998</v>
      </c>
      <c r="N587" s="29"/>
      <c r="O587" s="29"/>
      <c r="P587" s="29"/>
      <c r="Y587" s="27">
        <v>151</v>
      </c>
      <c r="AB587" s="29"/>
      <c r="AC587" s="29"/>
      <c r="AE587" s="29"/>
      <c r="AF587" s="27">
        <v>6.3680000000000003</v>
      </c>
      <c r="AG587" s="27">
        <f>AF588/AF587</f>
        <v>0.64164572864321612</v>
      </c>
    </row>
    <row r="588" spans="1:33" s="27" customFormat="1" ht="20.25" customHeight="1" x14ac:dyDescent="0.45">
      <c r="A588" s="26"/>
      <c r="B588" s="28">
        <v>106</v>
      </c>
      <c r="C588" s="29"/>
      <c r="D588" s="27">
        <v>13.031000000000001</v>
      </c>
      <c r="E588" s="27">
        <f>D589/D588</f>
        <v>0.27626429284015042</v>
      </c>
      <c r="F588" s="29"/>
      <c r="L588" s="27">
        <v>106</v>
      </c>
      <c r="M588" s="29"/>
      <c r="N588" s="27">
        <v>11.404</v>
      </c>
      <c r="O588" s="27">
        <f>N589/N588</f>
        <v>0.45247281655559457</v>
      </c>
      <c r="P588" s="29"/>
      <c r="Y588" s="27">
        <v>152</v>
      </c>
      <c r="AB588" s="29"/>
      <c r="AC588" s="29"/>
      <c r="AE588" s="29"/>
      <c r="AF588" s="27">
        <v>4.0860000000000003</v>
      </c>
    </row>
    <row r="589" spans="1:33" s="27" customFormat="1" ht="20.25" customHeight="1" x14ac:dyDescent="0.45">
      <c r="A589" s="26"/>
      <c r="B589" s="28">
        <v>107</v>
      </c>
      <c r="C589" s="29"/>
      <c r="D589" s="27">
        <v>3.6</v>
      </c>
      <c r="E589" s="29"/>
      <c r="F589" s="29"/>
      <c r="L589" s="27">
        <v>107</v>
      </c>
      <c r="M589" s="29"/>
      <c r="N589" s="27">
        <v>5.16</v>
      </c>
      <c r="O589" s="29"/>
      <c r="P589" s="29"/>
      <c r="Y589" s="27">
        <v>153</v>
      </c>
      <c r="AB589" s="29"/>
      <c r="AC589" s="29"/>
      <c r="AE589" s="27">
        <v>128.898</v>
      </c>
      <c r="AF589" s="29"/>
    </row>
    <row r="590" spans="1:33" s="27" customFormat="1" ht="20.25" customHeight="1" x14ac:dyDescent="0.45">
      <c r="A590" s="26"/>
      <c r="B590" s="28">
        <v>108</v>
      </c>
      <c r="C590" s="27">
        <v>22.908000000000001</v>
      </c>
      <c r="D590" s="29"/>
      <c r="E590" s="29"/>
      <c r="F590" s="29"/>
      <c r="L590" s="27">
        <v>108</v>
      </c>
      <c r="M590" s="27">
        <v>51.404000000000003</v>
      </c>
      <c r="N590" s="29"/>
      <c r="O590" s="29"/>
      <c r="P590" s="29"/>
      <c r="Z590" s="27">
        <f>Z586+Z577+Z574+Z571+Z562+Z559+Z556+Z547+Z526+Z523+Z520+Z514+Z505+Z502+Z496+Z493+Z487+Z481+Z472+Z466+Z463+Z460+Z457+Z451+Z448+Z442+Z439</f>
        <v>1456.0959999999998</v>
      </c>
      <c r="AB590" s="27">
        <f>SUM(AB437:AB589)</f>
        <v>14.477125586894449</v>
      </c>
    </row>
    <row r="591" spans="1:33" s="27" customFormat="1" ht="20.25" customHeight="1" x14ac:dyDescent="0.45">
      <c r="A591" s="26"/>
      <c r="B591" s="28">
        <v>109</v>
      </c>
      <c r="C591" s="29"/>
      <c r="D591" s="27">
        <v>6.9969999999999999</v>
      </c>
      <c r="E591" s="27">
        <f>D592/D591</f>
        <v>0.66342718307846227</v>
      </c>
      <c r="F591" s="29"/>
      <c r="L591" s="27">
        <v>109</v>
      </c>
      <c r="M591" s="29"/>
      <c r="N591" s="27">
        <v>11.69</v>
      </c>
      <c r="O591" s="27">
        <f>N592/N591</f>
        <v>0.37057313943541487</v>
      </c>
      <c r="P591" s="29"/>
      <c r="Z591" s="27">
        <f>Z590/27</f>
        <v>53.929481481481474</v>
      </c>
      <c r="AB591" s="27">
        <f>AB590/27</f>
        <v>0.5361898365516462</v>
      </c>
      <c r="AE591" s="27">
        <f>AE589+AE583+AE580+AE568+AE565+AE553+AE550+AE544+AE541+AE538+AE535+AE532+AE529+AE517+AE511+AE508+AE499+AE490+AE484+AE478+AE475+AE469+AE454+AE445</f>
        <v>3297.7909999999993</v>
      </c>
      <c r="AG591" s="27">
        <f>SUM(AG437:AG588)</f>
        <v>14.782253066960923</v>
      </c>
    </row>
    <row r="592" spans="1:33" s="27" customFormat="1" ht="20.25" customHeight="1" x14ac:dyDescent="0.45">
      <c r="A592" s="26"/>
      <c r="B592" s="28">
        <v>110</v>
      </c>
      <c r="C592" s="29"/>
      <c r="D592" s="27">
        <v>4.6420000000000003</v>
      </c>
      <c r="E592" s="29"/>
      <c r="F592" s="29"/>
      <c r="L592" s="27">
        <v>110</v>
      </c>
      <c r="M592" s="29"/>
      <c r="N592" s="27">
        <v>4.3319999999999999</v>
      </c>
      <c r="O592" s="29"/>
      <c r="P592" s="29"/>
      <c r="AE592" s="27">
        <f>(AE591-(90*24))/24</f>
        <v>47.407958333333305</v>
      </c>
      <c r="AG592" s="27">
        <f>AG591/24</f>
        <v>0.61592721112337179</v>
      </c>
    </row>
    <row r="593" spans="1:43" s="27" customFormat="1" ht="20.25" customHeight="1" x14ac:dyDescent="0.45">
      <c r="A593" s="26"/>
      <c r="B593" s="28">
        <v>111</v>
      </c>
      <c r="C593" s="27">
        <v>73.873000000000005</v>
      </c>
      <c r="D593" s="29"/>
      <c r="E593" s="29"/>
      <c r="F593" s="29"/>
      <c r="L593" s="27">
        <v>111</v>
      </c>
      <c r="M593" s="27">
        <v>56.31</v>
      </c>
      <c r="N593" s="29"/>
      <c r="O593" s="29"/>
      <c r="P593" s="29"/>
    </row>
    <row r="594" spans="1:43" s="27" customFormat="1" ht="20.25" customHeight="1" x14ac:dyDescent="0.45">
      <c r="A594" s="26"/>
      <c r="B594" s="28">
        <v>112</v>
      </c>
      <c r="C594" s="29"/>
      <c r="D594" s="27">
        <v>11.625</v>
      </c>
      <c r="E594" s="27">
        <f>D595/D594</f>
        <v>0.51156989247311824</v>
      </c>
      <c r="F594" s="29"/>
      <c r="L594" s="27">
        <v>112</v>
      </c>
      <c r="M594" s="29"/>
      <c r="N594" s="27">
        <v>8.8930000000000007</v>
      </c>
      <c r="O594" s="27">
        <f>N595/N594</f>
        <v>0.50848982345665128</v>
      </c>
      <c r="P594" s="29"/>
    </row>
    <row r="595" spans="1:43" s="27" customFormat="1" ht="20.25" customHeight="1" x14ac:dyDescent="0.45">
      <c r="A595" s="26"/>
      <c r="B595" s="28">
        <v>113</v>
      </c>
      <c r="C595" s="29"/>
      <c r="D595" s="27">
        <v>5.9470000000000001</v>
      </c>
      <c r="E595" s="29"/>
      <c r="F595" s="29"/>
      <c r="L595" s="27">
        <v>113</v>
      </c>
      <c r="M595" s="29"/>
      <c r="N595" s="27">
        <v>4.5220000000000002</v>
      </c>
      <c r="O595" s="29"/>
      <c r="P595" s="29"/>
      <c r="Y595" s="25" t="s">
        <v>85</v>
      </c>
      <c r="Z595" s="27" t="s">
        <v>69</v>
      </c>
      <c r="AE595" s="27" t="s">
        <v>78</v>
      </c>
      <c r="AI595" s="25" t="s">
        <v>85</v>
      </c>
      <c r="AJ595" s="27" t="s">
        <v>69</v>
      </c>
    </row>
    <row r="596" spans="1:43" s="27" customFormat="1" ht="20.25" customHeight="1" x14ac:dyDescent="0.45">
      <c r="A596" s="26"/>
      <c r="B596" s="28">
        <v>114</v>
      </c>
      <c r="C596" s="27">
        <v>74.548000000000002</v>
      </c>
      <c r="D596" s="29"/>
      <c r="E596" s="29"/>
      <c r="F596" s="29"/>
      <c r="L596" s="27">
        <v>114</v>
      </c>
      <c r="M596" s="27">
        <v>88.353999999999999</v>
      </c>
      <c r="N596" s="29"/>
      <c r="O596" s="29"/>
      <c r="P596" s="29"/>
      <c r="Y596" s="25" t="s">
        <v>10</v>
      </c>
      <c r="AB596" s="27" t="s">
        <v>79</v>
      </c>
      <c r="AD596" s="29"/>
      <c r="AG596" s="27" t="s">
        <v>79</v>
      </c>
      <c r="AI596" s="25" t="s">
        <v>8</v>
      </c>
      <c r="AL596" s="27" t="s">
        <v>79</v>
      </c>
    </row>
    <row r="597" spans="1:43" s="27" customFormat="1" ht="20.25" customHeight="1" x14ac:dyDescent="0.45">
      <c r="A597" s="26"/>
      <c r="B597" s="28">
        <v>115</v>
      </c>
      <c r="E597" s="29"/>
      <c r="F597" s="29"/>
      <c r="H597" s="29"/>
      <c r="I597" s="27">
        <v>11.295</v>
      </c>
      <c r="J597" s="27">
        <f>I598/I597</f>
        <v>0.39415670650730411</v>
      </c>
      <c r="L597" s="27">
        <v>115</v>
      </c>
      <c r="O597" s="29"/>
      <c r="P597" s="29"/>
      <c r="R597" s="29"/>
      <c r="S597" s="27">
        <v>9.51</v>
      </c>
      <c r="T597" s="27">
        <f>S598/S597</f>
        <v>0.4674027339642482</v>
      </c>
      <c r="Y597" s="27">
        <v>1</v>
      </c>
      <c r="Z597" s="29"/>
      <c r="AA597" s="27">
        <v>9.734</v>
      </c>
      <c r="AB597" s="27">
        <f>AA598/AA597</f>
        <v>0.42253955208547367</v>
      </c>
      <c r="AC597" s="29"/>
      <c r="AI597" s="27">
        <v>1</v>
      </c>
      <c r="AJ597" s="29"/>
      <c r="AK597" s="27">
        <v>11.362</v>
      </c>
      <c r="AL597" s="27">
        <f>AK598/AK597</f>
        <v>0.35469107551487417</v>
      </c>
      <c r="AM597" s="29"/>
    </row>
    <row r="598" spans="1:43" s="27" customFormat="1" ht="20.25" customHeight="1" x14ac:dyDescent="0.45">
      <c r="A598" s="26"/>
      <c r="B598" s="28">
        <v>116</v>
      </c>
      <c r="E598" s="29"/>
      <c r="F598" s="29"/>
      <c r="H598" s="29"/>
      <c r="I598" s="27">
        <v>4.452</v>
      </c>
      <c r="L598" s="27">
        <v>116</v>
      </c>
      <c r="O598" s="29"/>
      <c r="P598" s="29"/>
      <c r="R598" s="29"/>
      <c r="S598" s="27">
        <v>4.4450000000000003</v>
      </c>
      <c r="Y598" s="27">
        <v>2</v>
      </c>
      <c r="Z598" s="29"/>
      <c r="AA598" s="27">
        <v>4.1130000000000004</v>
      </c>
      <c r="AB598" s="29"/>
      <c r="AC598" s="29"/>
      <c r="AI598" s="27">
        <v>2</v>
      </c>
      <c r="AJ598" s="29"/>
      <c r="AK598" s="27">
        <v>4.03</v>
      </c>
      <c r="AL598" s="29"/>
      <c r="AM598" s="29"/>
    </row>
    <row r="599" spans="1:43" s="27" customFormat="1" ht="20.25" customHeight="1" x14ac:dyDescent="0.45">
      <c r="A599" s="26"/>
      <c r="B599" s="28">
        <v>117</v>
      </c>
      <c r="E599" s="29"/>
      <c r="F599" s="29"/>
      <c r="H599" s="27">
        <v>90</v>
      </c>
      <c r="I599" s="29"/>
      <c r="L599" s="27">
        <v>117</v>
      </c>
      <c r="O599" s="29"/>
      <c r="P599" s="29"/>
      <c r="R599" s="27">
        <v>136.03800000000001</v>
      </c>
      <c r="S599" s="29"/>
      <c r="Y599" s="27">
        <v>3</v>
      </c>
      <c r="Z599" s="27">
        <v>81.712000000000003</v>
      </c>
      <c r="AA599" s="29"/>
      <c r="AB599" s="29"/>
      <c r="AC599" s="29"/>
      <c r="AI599" s="27">
        <v>3</v>
      </c>
      <c r="AJ599" s="27">
        <v>65.022999999999996</v>
      </c>
      <c r="AK599" s="29"/>
      <c r="AL599" s="29"/>
      <c r="AM599" s="29"/>
    </row>
    <row r="600" spans="1:43" s="27" customFormat="1" ht="20.25" customHeight="1" x14ac:dyDescent="0.45">
      <c r="A600" s="26"/>
      <c r="B600" s="28">
        <v>118</v>
      </c>
      <c r="C600" s="29"/>
      <c r="D600" s="27">
        <v>14.66</v>
      </c>
      <c r="E600" s="27">
        <f>D601/D600</f>
        <v>0.52960436562073676</v>
      </c>
      <c r="F600" s="29"/>
      <c r="L600" s="27">
        <v>118</v>
      </c>
      <c r="O600" s="29"/>
      <c r="P600" s="29"/>
      <c r="R600" s="29"/>
      <c r="S600" s="27">
        <v>10.257</v>
      </c>
      <c r="T600" s="27">
        <f>S601/S600</f>
        <v>0.40655162328166133</v>
      </c>
      <c r="Y600" s="27">
        <v>4</v>
      </c>
      <c r="Z600" s="29"/>
      <c r="AA600" s="27">
        <v>7.5609999999999999</v>
      </c>
      <c r="AB600" s="27">
        <f>AA601/AA600</f>
        <v>0.51725962174315565</v>
      </c>
      <c r="AC600" s="29"/>
      <c r="AI600" s="27">
        <v>4</v>
      </c>
      <c r="AJ600" s="29"/>
      <c r="AK600" s="27">
        <v>11.167999999999999</v>
      </c>
      <c r="AL600" s="27">
        <f>AK601/AK600</f>
        <v>0.32431948424068768</v>
      </c>
      <c r="AM600" s="29"/>
    </row>
    <row r="601" spans="1:43" s="27" customFormat="1" ht="20.25" customHeight="1" x14ac:dyDescent="0.45">
      <c r="A601" s="26"/>
      <c r="B601" s="28">
        <v>119</v>
      </c>
      <c r="C601" s="29"/>
      <c r="D601" s="27">
        <v>7.7640000000000002</v>
      </c>
      <c r="E601" s="29"/>
      <c r="F601" s="29"/>
      <c r="L601" s="27">
        <v>119</v>
      </c>
      <c r="O601" s="29"/>
      <c r="P601" s="29"/>
      <c r="R601" s="29"/>
      <c r="S601" s="27">
        <v>4.17</v>
      </c>
      <c r="Y601" s="27">
        <v>5</v>
      </c>
      <c r="Z601" s="29"/>
      <c r="AA601" s="27">
        <v>3.911</v>
      </c>
      <c r="AB601" s="29"/>
      <c r="AC601" s="29"/>
      <c r="AI601" s="27">
        <v>5</v>
      </c>
      <c r="AJ601" s="29"/>
      <c r="AK601" s="27">
        <v>3.6219999999999999</v>
      </c>
      <c r="AL601" s="29"/>
      <c r="AM601" s="29"/>
    </row>
    <row r="602" spans="1:43" s="27" customFormat="1" ht="20.25" customHeight="1" x14ac:dyDescent="0.45">
      <c r="A602" s="26"/>
      <c r="B602" s="28">
        <v>120</v>
      </c>
      <c r="C602" s="27">
        <v>39.137999999999998</v>
      </c>
      <c r="D602" s="29"/>
      <c r="E602" s="29"/>
      <c r="F602" s="29"/>
      <c r="L602" s="27">
        <v>120</v>
      </c>
      <c r="O602" s="29"/>
      <c r="P602" s="29"/>
      <c r="R602" s="27">
        <v>179.03399999999999</v>
      </c>
      <c r="S602" s="29"/>
      <c r="Y602" s="27">
        <v>6</v>
      </c>
      <c r="Z602" s="27">
        <v>36.247999999999998</v>
      </c>
      <c r="AA602" s="29"/>
      <c r="AB602" s="29"/>
      <c r="AC602" s="29"/>
      <c r="AI602" s="27">
        <v>6</v>
      </c>
      <c r="AJ602" s="27">
        <v>68.2</v>
      </c>
      <c r="AK602" s="29"/>
      <c r="AL602" s="29"/>
      <c r="AM602" s="29"/>
    </row>
    <row r="603" spans="1:43" s="27" customFormat="1" ht="20.25" customHeight="1" x14ac:dyDescent="0.45">
      <c r="A603" s="26"/>
      <c r="B603" s="28">
        <v>121</v>
      </c>
      <c r="C603" s="29"/>
      <c r="D603" s="27">
        <v>9.0830000000000002</v>
      </c>
      <c r="E603" s="27">
        <f>D604/D603</f>
        <v>0.57227788175712868</v>
      </c>
      <c r="F603" s="29"/>
      <c r="L603" s="27">
        <v>121</v>
      </c>
      <c r="M603" s="29"/>
      <c r="N603" s="27">
        <v>6.5380000000000003</v>
      </c>
      <c r="O603" s="27">
        <f>N604/N603</f>
        <v>0.63276231263383287</v>
      </c>
      <c r="P603" s="29"/>
      <c r="Y603" s="27">
        <v>7</v>
      </c>
      <c r="AB603" s="29"/>
      <c r="AC603" s="29"/>
      <c r="AE603" s="29"/>
      <c r="AF603" s="27">
        <v>7.0179999999999998</v>
      </c>
      <c r="AG603" s="27">
        <f>AF604/AF603</f>
        <v>0.77415218010829301</v>
      </c>
      <c r="AI603" s="27">
        <v>7</v>
      </c>
      <c r="AL603" s="29"/>
      <c r="AM603" s="29"/>
      <c r="AO603" s="29"/>
      <c r="AP603" s="27">
        <v>7.6529999999999996</v>
      </c>
      <c r="AQ603" s="27">
        <f>AP604/AP603</f>
        <v>0.65947994250620667</v>
      </c>
    </row>
    <row r="604" spans="1:43" s="27" customFormat="1" ht="20.25" customHeight="1" x14ac:dyDescent="0.45">
      <c r="A604" s="26"/>
      <c r="B604" s="28">
        <v>122</v>
      </c>
      <c r="C604" s="29"/>
      <c r="D604" s="27">
        <v>5.1980000000000004</v>
      </c>
      <c r="E604" s="29"/>
      <c r="F604" s="29"/>
      <c r="L604" s="27">
        <v>122</v>
      </c>
      <c r="M604" s="29"/>
      <c r="N604" s="27">
        <v>4.1369999999999996</v>
      </c>
      <c r="O604" s="29"/>
      <c r="P604" s="29"/>
      <c r="Y604" s="27">
        <v>8</v>
      </c>
      <c r="AB604" s="29"/>
      <c r="AC604" s="29"/>
      <c r="AE604" s="29"/>
      <c r="AF604" s="27">
        <v>5.4329999999999998</v>
      </c>
      <c r="AI604" s="27">
        <v>8</v>
      </c>
      <c r="AL604" s="29"/>
      <c r="AM604" s="29"/>
      <c r="AO604" s="29"/>
      <c r="AP604" s="27">
        <v>5.0469999999999997</v>
      </c>
    </row>
    <row r="605" spans="1:43" s="27" customFormat="1" ht="20.25" customHeight="1" x14ac:dyDescent="0.45">
      <c r="A605" s="26"/>
      <c r="B605" s="28">
        <v>123</v>
      </c>
      <c r="C605" s="27">
        <v>43.305</v>
      </c>
      <c r="D605" s="29"/>
      <c r="E605" s="29"/>
      <c r="F605" s="29"/>
      <c r="L605" s="27">
        <v>123</v>
      </c>
      <c r="M605" s="27">
        <v>32.024999999999999</v>
      </c>
      <c r="N605" s="29"/>
      <c r="O605" s="29"/>
      <c r="P605" s="29"/>
      <c r="Y605" s="27">
        <v>9</v>
      </c>
      <c r="AB605" s="29"/>
      <c r="AC605" s="29"/>
      <c r="AE605" s="27">
        <v>148.822</v>
      </c>
      <c r="AF605" s="29"/>
      <c r="AI605" s="27">
        <v>9</v>
      </c>
      <c r="AL605" s="29"/>
      <c r="AM605" s="29"/>
      <c r="AO605" s="27">
        <v>130.71600000000001</v>
      </c>
      <c r="AP605" s="29"/>
    </row>
    <row r="606" spans="1:43" s="27" customFormat="1" ht="20.25" customHeight="1" x14ac:dyDescent="0.45">
      <c r="A606" s="26"/>
      <c r="B606" s="28">
        <v>124</v>
      </c>
      <c r="C606" s="29"/>
      <c r="D606" s="27">
        <v>7.3049999999999997</v>
      </c>
      <c r="E606" s="27">
        <f>D607/D606</f>
        <v>0.89774127310061602</v>
      </c>
      <c r="F606" s="29"/>
      <c r="L606" s="27">
        <v>124</v>
      </c>
      <c r="O606" s="29"/>
      <c r="P606" s="29"/>
      <c r="R606" s="29"/>
      <c r="S606" s="27">
        <v>12.143000000000001</v>
      </c>
      <c r="T606" s="27">
        <f>S607/S606</f>
        <v>0.46322984435477227</v>
      </c>
      <c r="Y606" s="27">
        <v>10</v>
      </c>
      <c r="Z606" s="29"/>
      <c r="AA606" s="27">
        <v>7.8559999999999999</v>
      </c>
      <c r="AB606" s="27">
        <f>AA607/AA606</f>
        <v>0.83439409368635431</v>
      </c>
      <c r="AC606" s="29"/>
      <c r="AI606" s="27">
        <v>10</v>
      </c>
      <c r="AJ606" s="29"/>
      <c r="AK606" s="27">
        <v>8.3670000000000009</v>
      </c>
      <c r="AL606" s="27">
        <f>AK607/AK606</f>
        <v>0.62292338950639403</v>
      </c>
      <c r="AM606" s="29"/>
    </row>
    <row r="607" spans="1:43" s="27" customFormat="1" ht="20.25" customHeight="1" x14ac:dyDescent="0.45">
      <c r="A607" s="26"/>
      <c r="B607" s="28">
        <v>125</v>
      </c>
      <c r="C607" s="29"/>
      <c r="D607" s="27">
        <v>6.5579999999999998</v>
      </c>
      <c r="E607" s="29"/>
      <c r="F607" s="29"/>
      <c r="L607" s="27">
        <v>125</v>
      </c>
      <c r="O607" s="29"/>
      <c r="P607" s="29"/>
      <c r="R607" s="29"/>
      <c r="S607" s="27">
        <v>5.625</v>
      </c>
      <c r="Y607" s="27">
        <v>11</v>
      </c>
      <c r="Z607" s="29"/>
      <c r="AA607" s="27">
        <v>6.5549999999999997</v>
      </c>
      <c r="AB607" s="29"/>
      <c r="AC607" s="29"/>
      <c r="AI607" s="27">
        <v>11</v>
      </c>
      <c r="AJ607" s="29"/>
      <c r="AK607" s="27">
        <v>5.2119999999999997</v>
      </c>
      <c r="AL607" s="29"/>
      <c r="AM607" s="29"/>
    </row>
    <row r="608" spans="1:43" s="27" customFormat="1" ht="20.25" customHeight="1" x14ac:dyDescent="0.45">
      <c r="A608" s="26"/>
      <c r="B608" s="28">
        <v>126</v>
      </c>
      <c r="C608" s="27">
        <v>80.757999999999996</v>
      </c>
      <c r="D608" s="29"/>
      <c r="E608" s="29"/>
      <c r="F608" s="29"/>
      <c r="L608" s="27">
        <v>126</v>
      </c>
      <c r="O608" s="29"/>
      <c r="P608" s="29"/>
      <c r="R608" s="27">
        <v>141.14699999999999</v>
      </c>
      <c r="S608" s="29"/>
      <c r="Y608" s="27">
        <v>12</v>
      </c>
      <c r="Z608" s="27">
        <v>44.817999999999998</v>
      </c>
      <c r="AA608" s="29"/>
      <c r="AB608" s="29"/>
      <c r="AC608" s="29"/>
      <c r="AI608" s="27">
        <v>12</v>
      </c>
      <c r="AJ608" s="27">
        <v>85.429000000000002</v>
      </c>
      <c r="AK608" s="29"/>
      <c r="AL608" s="29"/>
      <c r="AM608" s="29"/>
    </row>
    <row r="609" spans="1:43" s="27" customFormat="1" ht="20.25" customHeight="1" x14ac:dyDescent="0.45">
      <c r="A609" s="26"/>
      <c r="B609" s="28">
        <v>127</v>
      </c>
      <c r="E609" s="29"/>
      <c r="F609" s="29"/>
      <c r="H609" s="29"/>
      <c r="I609" s="27">
        <v>8.77</v>
      </c>
      <c r="J609" s="27">
        <f>I610/I609</f>
        <v>0.5177879133409351</v>
      </c>
      <c r="L609" s="27">
        <v>127</v>
      </c>
      <c r="M609" s="29"/>
      <c r="N609" s="27">
        <v>9.1379999999999999</v>
      </c>
      <c r="O609" s="27">
        <f>N610/N609</f>
        <v>0.59093893630991468</v>
      </c>
      <c r="P609" s="29"/>
      <c r="Y609" s="27">
        <v>13</v>
      </c>
      <c r="AB609" s="29"/>
      <c r="AC609" s="29"/>
      <c r="AE609" s="29"/>
      <c r="AF609" s="27">
        <v>7.0919999999999996</v>
      </c>
      <c r="AG609" s="27">
        <f>AF610/AF609</f>
        <v>0.6879582628313593</v>
      </c>
      <c r="AI609" s="27">
        <v>13</v>
      </c>
      <c r="AL609" s="29"/>
      <c r="AM609" s="29"/>
      <c r="AO609" s="29"/>
      <c r="AP609" s="27">
        <v>9.7370000000000001</v>
      </c>
      <c r="AQ609" s="27">
        <f>AP610/AP609</f>
        <v>0.46903563725993636</v>
      </c>
    </row>
    <row r="610" spans="1:43" s="27" customFormat="1" ht="20.25" customHeight="1" x14ac:dyDescent="0.45">
      <c r="A610" s="26"/>
      <c r="B610" s="28">
        <v>128</v>
      </c>
      <c r="E610" s="29"/>
      <c r="F610" s="29"/>
      <c r="H610" s="29"/>
      <c r="I610" s="27">
        <v>4.5410000000000004</v>
      </c>
      <c r="L610" s="27">
        <v>128</v>
      </c>
      <c r="M610" s="29"/>
      <c r="N610" s="27">
        <v>5.4</v>
      </c>
      <c r="O610" s="29"/>
      <c r="P610" s="29"/>
      <c r="Y610" s="27">
        <v>14</v>
      </c>
      <c r="AB610" s="29"/>
      <c r="AC610" s="29"/>
      <c r="AE610" s="29"/>
      <c r="AF610" s="27">
        <v>4.8789999999999996</v>
      </c>
      <c r="AI610" s="27">
        <v>14</v>
      </c>
      <c r="AL610" s="29"/>
      <c r="AM610" s="29"/>
      <c r="AO610" s="29"/>
      <c r="AP610" s="27">
        <v>4.5670000000000002</v>
      </c>
    </row>
    <row r="611" spans="1:43" s="27" customFormat="1" ht="20.25" customHeight="1" x14ac:dyDescent="0.45">
      <c r="A611" s="26"/>
      <c r="B611" s="28">
        <v>129</v>
      </c>
      <c r="E611" s="29"/>
      <c r="F611" s="29"/>
      <c r="H611" s="27">
        <v>162.13300000000001</v>
      </c>
      <c r="I611" s="29"/>
      <c r="L611" s="27">
        <v>129</v>
      </c>
      <c r="M611" s="27">
        <v>59.905999999999999</v>
      </c>
      <c r="N611" s="29"/>
      <c r="O611" s="29"/>
      <c r="P611" s="29"/>
      <c r="Y611" s="27">
        <v>15</v>
      </c>
      <c r="AB611" s="29"/>
      <c r="AC611" s="29"/>
      <c r="AE611" s="27">
        <v>109.093</v>
      </c>
      <c r="AF611" s="29"/>
      <c r="AI611" s="27">
        <v>15</v>
      </c>
      <c r="AL611" s="29"/>
      <c r="AM611" s="29"/>
      <c r="AO611" s="27">
        <v>140.745</v>
      </c>
      <c r="AP611" s="29"/>
    </row>
    <row r="612" spans="1:43" s="27" customFormat="1" ht="20.25" customHeight="1" x14ac:dyDescent="0.45">
      <c r="A612" s="26"/>
      <c r="B612" s="28">
        <v>130</v>
      </c>
      <c r="E612" s="29"/>
      <c r="F612" s="29"/>
      <c r="H612" s="29"/>
      <c r="I612" s="27">
        <v>6.8810000000000002</v>
      </c>
      <c r="J612" s="27">
        <f>I613/I612</f>
        <v>0.66095044324952767</v>
      </c>
      <c r="L612" s="27">
        <v>130</v>
      </c>
      <c r="M612" s="29"/>
      <c r="N612" s="27">
        <v>13.044</v>
      </c>
      <c r="O612" s="27">
        <f>N613/N612</f>
        <v>0.73919043238270465</v>
      </c>
      <c r="P612" s="29"/>
      <c r="Y612" s="27">
        <v>16</v>
      </c>
      <c r="Z612" s="29"/>
      <c r="AA612" s="27">
        <v>7.2530000000000001</v>
      </c>
      <c r="AB612" s="27">
        <f>AA613/AA612</f>
        <v>0.64318213153177994</v>
      </c>
      <c r="AC612" s="29"/>
      <c r="AI612" s="27">
        <v>16</v>
      </c>
      <c r="AJ612" s="29"/>
      <c r="AK612" s="27">
        <v>15.475</v>
      </c>
      <c r="AL612" s="27">
        <f>AK613/AK612</f>
        <v>0.284264943457189</v>
      </c>
      <c r="AM612" s="29"/>
    </row>
    <row r="613" spans="1:43" s="27" customFormat="1" ht="20.25" customHeight="1" x14ac:dyDescent="0.45">
      <c r="A613" s="26"/>
      <c r="B613" s="28">
        <v>131</v>
      </c>
      <c r="E613" s="29"/>
      <c r="F613" s="29"/>
      <c r="H613" s="29"/>
      <c r="I613" s="27">
        <v>4.548</v>
      </c>
      <c r="L613" s="27">
        <v>131</v>
      </c>
      <c r="M613" s="29"/>
      <c r="N613" s="27">
        <v>9.6419999999999995</v>
      </c>
      <c r="O613" s="29"/>
      <c r="P613" s="29"/>
      <c r="Y613" s="27">
        <v>17</v>
      </c>
      <c r="Z613" s="29"/>
      <c r="AA613" s="27">
        <v>4.665</v>
      </c>
      <c r="AB613" s="29"/>
      <c r="AC613" s="29"/>
      <c r="AI613" s="27">
        <v>17</v>
      </c>
      <c r="AJ613" s="29"/>
      <c r="AK613" s="27">
        <v>4.399</v>
      </c>
      <c r="AL613" s="29"/>
      <c r="AM613" s="29"/>
    </row>
    <row r="614" spans="1:43" s="27" customFormat="1" ht="20.25" customHeight="1" x14ac:dyDescent="0.45">
      <c r="A614" s="26"/>
      <c r="B614" s="28">
        <v>132</v>
      </c>
      <c r="E614" s="29"/>
      <c r="F614" s="29"/>
      <c r="H614" s="27">
        <v>172.38800000000001</v>
      </c>
      <c r="I614" s="29"/>
      <c r="L614" s="27">
        <v>132</v>
      </c>
      <c r="M614" s="27">
        <v>53.197000000000003</v>
      </c>
      <c r="N614" s="29"/>
      <c r="O614" s="29"/>
      <c r="P614" s="29"/>
      <c r="Y614" s="27">
        <v>18</v>
      </c>
      <c r="Z614" s="27">
        <v>66.843000000000004</v>
      </c>
      <c r="AA614" s="29"/>
      <c r="AB614" s="29"/>
      <c r="AC614" s="29"/>
      <c r="AI614" s="27">
        <v>18</v>
      </c>
      <c r="AJ614" s="27">
        <v>84.429000000000002</v>
      </c>
      <c r="AK614" s="29"/>
      <c r="AL614" s="29"/>
      <c r="AM614" s="29"/>
    </row>
    <row r="615" spans="1:43" s="27" customFormat="1" ht="20.25" customHeight="1" x14ac:dyDescent="0.45">
      <c r="A615" s="26"/>
      <c r="B615" s="28">
        <v>133</v>
      </c>
      <c r="C615" s="29"/>
      <c r="D615" s="27">
        <v>14.885999999999999</v>
      </c>
      <c r="E615" s="27">
        <f>D616/D615</f>
        <v>0.40427247077791212</v>
      </c>
      <c r="F615" s="29"/>
      <c r="L615" s="27">
        <v>133</v>
      </c>
      <c r="O615" s="29"/>
      <c r="P615" s="29"/>
      <c r="Y615" s="27">
        <v>19</v>
      </c>
      <c r="AB615" s="29"/>
      <c r="AC615" s="29"/>
      <c r="AE615" s="29"/>
      <c r="AF615" s="27">
        <v>7.6630000000000003</v>
      </c>
      <c r="AG615" s="27">
        <f>AF616/AF615</f>
        <v>0.79642437687589707</v>
      </c>
      <c r="AI615" s="27">
        <v>19</v>
      </c>
      <c r="AJ615" s="29"/>
      <c r="AK615" s="27">
        <v>8.4789999999999992</v>
      </c>
      <c r="AL615" s="27">
        <f>AK616/AK615</f>
        <v>0.60526005425168061</v>
      </c>
      <c r="AM615" s="29"/>
    </row>
    <row r="616" spans="1:43" s="27" customFormat="1" ht="20.25" customHeight="1" x14ac:dyDescent="0.45">
      <c r="A616" s="26"/>
      <c r="B616" s="28">
        <v>134</v>
      </c>
      <c r="C616" s="29"/>
      <c r="D616" s="27">
        <v>6.0179999999999998</v>
      </c>
      <c r="E616" s="29"/>
      <c r="F616" s="29"/>
      <c r="L616" s="27">
        <v>134</v>
      </c>
      <c r="O616" s="29"/>
      <c r="P616" s="29"/>
      <c r="R616" s="29"/>
      <c r="S616" s="27">
        <v>8.327</v>
      </c>
      <c r="T616" s="27">
        <f>S617/S616</f>
        <v>0.54209198991233343</v>
      </c>
      <c r="Y616" s="27">
        <v>20</v>
      </c>
      <c r="AB616" s="29"/>
      <c r="AC616" s="29"/>
      <c r="AE616" s="29"/>
      <c r="AF616" s="27">
        <v>6.1029999999999998</v>
      </c>
      <c r="AI616" s="27">
        <v>20</v>
      </c>
      <c r="AJ616" s="29"/>
      <c r="AK616" s="27">
        <v>5.1319999999999997</v>
      </c>
      <c r="AL616" s="29"/>
      <c r="AM616" s="29"/>
    </row>
    <row r="617" spans="1:43" s="27" customFormat="1" ht="20.25" customHeight="1" x14ac:dyDescent="0.45">
      <c r="A617" s="26"/>
      <c r="B617" s="28">
        <v>135</v>
      </c>
      <c r="C617" s="27">
        <v>89.025999999999996</v>
      </c>
      <c r="D617" s="29"/>
      <c r="E617" s="29"/>
      <c r="F617" s="29"/>
      <c r="L617" s="27">
        <v>135</v>
      </c>
      <c r="O617" s="29"/>
      <c r="P617" s="29"/>
      <c r="R617" s="29"/>
      <c r="S617" s="27">
        <v>4.5140000000000002</v>
      </c>
      <c r="Y617" s="27">
        <v>21</v>
      </c>
      <c r="AB617" s="29"/>
      <c r="AC617" s="29"/>
      <c r="AE617" s="27">
        <v>112.271</v>
      </c>
      <c r="AF617" s="29"/>
      <c r="AI617" s="27">
        <v>21</v>
      </c>
      <c r="AJ617" s="27">
        <v>84.82</v>
      </c>
      <c r="AK617" s="29"/>
      <c r="AL617" s="29"/>
      <c r="AM617" s="29"/>
    </row>
    <row r="618" spans="1:43" s="27" customFormat="1" ht="20.25" customHeight="1" x14ac:dyDescent="0.45">
      <c r="A618" s="26"/>
      <c r="B618" s="28">
        <v>136</v>
      </c>
      <c r="E618" s="29"/>
      <c r="F618" s="29"/>
      <c r="H618" s="29"/>
      <c r="I618" s="27">
        <v>10.903</v>
      </c>
      <c r="J618" s="27">
        <f>I619/I618</f>
        <v>0.46776116665138029</v>
      </c>
      <c r="L618" s="27">
        <v>136</v>
      </c>
      <c r="O618" s="29"/>
      <c r="P618" s="29"/>
      <c r="R618" s="27">
        <v>172.10499999999999</v>
      </c>
      <c r="S618" s="29"/>
      <c r="Y618" s="27">
        <v>22</v>
      </c>
      <c r="AB618" s="29"/>
      <c r="AC618" s="29"/>
      <c r="AE618" s="29"/>
      <c r="AF618" s="27">
        <v>6.4889999999999999</v>
      </c>
      <c r="AG618" s="27">
        <f>AF619/AF618</f>
        <v>0.76714439821235936</v>
      </c>
      <c r="AI618" s="27">
        <v>22</v>
      </c>
      <c r="AJ618" s="29"/>
      <c r="AK618" s="27">
        <v>8.3580000000000005</v>
      </c>
      <c r="AL618" s="27">
        <f>AK619/AK618</f>
        <v>0.57226609236659487</v>
      </c>
      <c r="AM618" s="29"/>
    </row>
    <row r="619" spans="1:43" s="27" customFormat="1" ht="20.25" customHeight="1" x14ac:dyDescent="0.45">
      <c r="A619" s="26"/>
      <c r="B619" s="28">
        <v>137</v>
      </c>
      <c r="E619" s="29"/>
      <c r="F619" s="29"/>
      <c r="H619" s="29"/>
      <c r="I619" s="27">
        <v>5.0999999999999996</v>
      </c>
      <c r="L619" s="27">
        <v>137</v>
      </c>
      <c r="O619" s="29"/>
      <c r="P619" s="29"/>
      <c r="R619" s="29"/>
      <c r="S619" s="27">
        <v>10.414</v>
      </c>
      <c r="T619" s="27">
        <f>S620/S619</f>
        <v>0.52122143268676779</v>
      </c>
      <c r="Y619" s="27">
        <v>23</v>
      </c>
      <c r="AB619" s="29"/>
      <c r="AC619" s="29"/>
      <c r="AE619" s="29"/>
      <c r="AF619" s="27">
        <v>4.9779999999999998</v>
      </c>
      <c r="AI619" s="27">
        <v>23</v>
      </c>
      <c r="AJ619" s="29"/>
      <c r="AK619" s="27">
        <v>4.7830000000000004</v>
      </c>
      <c r="AL619" s="29"/>
      <c r="AM619" s="29"/>
    </row>
    <row r="620" spans="1:43" s="27" customFormat="1" ht="20.25" customHeight="1" x14ac:dyDescent="0.45">
      <c r="A620" s="26"/>
      <c r="B620" s="28">
        <v>138</v>
      </c>
      <c r="E620" s="29"/>
      <c r="F620" s="29"/>
      <c r="H620" s="27">
        <v>109.664</v>
      </c>
      <c r="I620" s="29"/>
      <c r="L620" s="27">
        <v>138</v>
      </c>
      <c r="O620" s="29"/>
      <c r="P620" s="29"/>
      <c r="R620" s="29"/>
      <c r="S620" s="27">
        <v>5.4279999999999999</v>
      </c>
      <c r="Y620" s="27">
        <v>24</v>
      </c>
      <c r="AB620" s="29"/>
      <c r="AC620" s="29"/>
      <c r="AE620" s="27">
        <v>108.34</v>
      </c>
      <c r="AF620" s="29"/>
      <c r="AI620" s="27">
        <v>24</v>
      </c>
      <c r="AJ620" s="27">
        <v>82.257000000000005</v>
      </c>
      <c r="AK620" s="29"/>
      <c r="AL620" s="29"/>
      <c r="AM620" s="29"/>
    </row>
    <row r="621" spans="1:43" s="27" customFormat="1" ht="20.25" customHeight="1" x14ac:dyDescent="0.45">
      <c r="A621" s="26"/>
      <c r="B621" s="28">
        <v>139</v>
      </c>
      <c r="E621" s="29"/>
      <c r="F621" s="29"/>
      <c r="H621" s="29"/>
      <c r="I621" s="27">
        <v>6.6159999999999997</v>
      </c>
      <c r="J621" s="27">
        <f>I622/I621</f>
        <v>0.78098548972188631</v>
      </c>
      <c r="L621" s="27">
        <v>139</v>
      </c>
      <c r="M621" s="29"/>
      <c r="N621" s="27">
        <v>9.0039999999999996</v>
      </c>
      <c r="O621" s="27">
        <f>N622/N621</f>
        <v>0.46312749888938254</v>
      </c>
      <c r="P621" s="29"/>
      <c r="R621" s="27">
        <v>164.803</v>
      </c>
      <c r="S621" s="29"/>
      <c r="Y621" s="27">
        <v>25</v>
      </c>
      <c r="AB621" s="29"/>
      <c r="AC621" s="29"/>
      <c r="AE621" s="29"/>
      <c r="AF621" s="27">
        <v>10.845000000000001</v>
      </c>
      <c r="AG621" s="27">
        <f>AF622/AF621</f>
        <v>0.47127708621484549</v>
      </c>
      <c r="AI621" s="27">
        <v>25</v>
      </c>
      <c r="AJ621" s="29"/>
      <c r="AK621" s="27">
        <v>9.3719999999999999</v>
      </c>
      <c r="AL621" s="27">
        <f>AK622/AK621</f>
        <v>0.44867690994451559</v>
      </c>
      <c r="AM621" s="29"/>
    </row>
    <row r="622" spans="1:43" s="27" customFormat="1" ht="20.25" customHeight="1" x14ac:dyDescent="0.45">
      <c r="A622" s="26"/>
      <c r="B622" s="28">
        <v>140</v>
      </c>
      <c r="E622" s="29"/>
      <c r="F622" s="29"/>
      <c r="H622" s="29"/>
      <c r="I622" s="27">
        <v>5.1669999999999998</v>
      </c>
      <c r="L622" s="27">
        <v>140</v>
      </c>
      <c r="M622" s="29"/>
      <c r="N622" s="27">
        <v>4.17</v>
      </c>
      <c r="O622" s="29"/>
      <c r="P622" s="29"/>
      <c r="Y622" s="27">
        <v>26</v>
      </c>
      <c r="AB622" s="29"/>
      <c r="AC622" s="29"/>
      <c r="AE622" s="29"/>
      <c r="AF622" s="27">
        <v>5.1109999999999998</v>
      </c>
      <c r="AI622" s="27">
        <v>26</v>
      </c>
      <c r="AJ622" s="29"/>
      <c r="AK622" s="27">
        <v>4.2050000000000001</v>
      </c>
      <c r="AL622" s="29"/>
      <c r="AM622" s="29"/>
    </row>
    <row r="623" spans="1:43" s="27" customFormat="1" ht="20.25" customHeight="1" x14ac:dyDescent="0.45">
      <c r="A623" s="26"/>
      <c r="B623" s="28">
        <v>141</v>
      </c>
      <c r="E623" s="29"/>
      <c r="F623" s="29"/>
      <c r="H623" s="27">
        <v>128.47200000000001</v>
      </c>
      <c r="I623" s="29"/>
      <c r="L623" s="27">
        <v>141</v>
      </c>
      <c r="M623" s="27">
        <v>70.320999999999998</v>
      </c>
      <c r="N623" s="29"/>
      <c r="O623" s="29"/>
      <c r="P623" s="29"/>
      <c r="Y623" s="27">
        <v>27</v>
      </c>
      <c r="AB623" s="29"/>
      <c r="AC623" s="29"/>
      <c r="AE623" s="27">
        <v>118.47499999999999</v>
      </c>
      <c r="AF623" s="29"/>
      <c r="AI623" s="27">
        <v>27</v>
      </c>
      <c r="AJ623" s="27">
        <v>60.116999999999997</v>
      </c>
      <c r="AK623" s="29"/>
      <c r="AL623" s="29"/>
      <c r="AM623" s="29"/>
    </row>
    <row r="624" spans="1:43" s="27" customFormat="1" ht="20.25" customHeight="1" x14ac:dyDescent="0.45">
      <c r="A624" s="26"/>
      <c r="B624" s="28">
        <v>142</v>
      </c>
      <c r="C624" s="29"/>
      <c r="D624" s="27">
        <v>9.6750000000000007</v>
      </c>
      <c r="E624" s="27">
        <f>D625/D624</f>
        <v>0.69271317829457357</v>
      </c>
      <c r="F624" s="29"/>
      <c r="L624" s="27">
        <v>142</v>
      </c>
      <c r="M624" s="29"/>
      <c r="N624" s="27">
        <v>9.6110000000000007</v>
      </c>
      <c r="O624" s="27">
        <f>N625/N624</f>
        <v>0.55509312246384346</v>
      </c>
      <c r="P624" s="29"/>
      <c r="Y624" s="27">
        <v>28</v>
      </c>
      <c r="Z624" s="29"/>
      <c r="AA624" s="27">
        <v>6.4530000000000003</v>
      </c>
      <c r="AB624" s="27">
        <f>AA625/AA624</f>
        <v>0.48303114830311483</v>
      </c>
      <c r="AC624" s="29"/>
      <c r="AI624" s="27">
        <v>28</v>
      </c>
      <c r="AJ624" s="29"/>
      <c r="AK624" s="27">
        <v>11.917999999999999</v>
      </c>
      <c r="AL624" s="27">
        <f>AK625/AK624</f>
        <v>0.38907534821278739</v>
      </c>
      <c r="AM624" s="29"/>
    </row>
    <row r="625" spans="1:43" s="27" customFormat="1" ht="20.25" customHeight="1" x14ac:dyDescent="0.45">
      <c r="A625" s="26"/>
      <c r="B625" s="28">
        <v>143</v>
      </c>
      <c r="C625" s="29"/>
      <c r="D625" s="27">
        <v>6.702</v>
      </c>
      <c r="E625" s="29"/>
      <c r="F625" s="29"/>
      <c r="L625" s="27">
        <v>143</v>
      </c>
      <c r="M625" s="29"/>
      <c r="N625" s="27">
        <v>5.335</v>
      </c>
      <c r="O625" s="29"/>
      <c r="P625" s="29"/>
      <c r="Y625" s="27">
        <v>29</v>
      </c>
      <c r="Z625" s="29"/>
      <c r="AA625" s="27">
        <v>3.117</v>
      </c>
      <c r="AB625" s="29"/>
      <c r="AC625" s="29"/>
      <c r="AI625" s="27">
        <v>29</v>
      </c>
      <c r="AJ625" s="29"/>
      <c r="AK625" s="27">
        <v>4.6369999999999996</v>
      </c>
      <c r="AL625" s="29"/>
      <c r="AM625" s="29"/>
    </row>
    <row r="626" spans="1:43" s="27" customFormat="1" ht="20.25" customHeight="1" x14ac:dyDescent="0.45">
      <c r="A626" s="26"/>
      <c r="B626" s="28">
        <v>144</v>
      </c>
      <c r="C626" s="27">
        <v>86.53</v>
      </c>
      <c r="D626" s="29"/>
      <c r="E626" s="29"/>
      <c r="F626" s="29"/>
      <c r="L626" s="27">
        <v>144</v>
      </c>
      <c r="M626" s="27">
        <v>66.489999999999995</v>
      </c>
      <c r="N626" s="29"/>
      <c r="O626" s="29"/>
      <c r="P626" s="29"/>
      <c r="Y626" s="27">
        <v>30</v>
      </c>
      <c r="Z626" s="27">
        <v>30.728999999999999</v>
      </c>
      <c r="AA626" s="29"/>
      <c r="AB626" s="29"/>
      <c r="AC626" s="29"/>
      <c r="AI626" s="27">
        <v>30</v>
      </c>
      <c r="AJ626" s="27">
        <v>59.954000000000001</v>
      </c>
      <c r="AK626" s="29"/>
      <c r="AL626" s="29"/>
      <c r="AM626" s="29"/>
    </row>
    <row r="627" spans="1:43" s="27" customFormat="1" ht="20.25" customHeight="1" x14ac:dyDescent="0.45">
      <c r="A627" s="26"/>
      <c r="B627" s="28">
        <v>145</v>
      </c>
      <c r="C627" s="29"/>
      <c r="D627" s="27">
        <v>7.4109999999999996</v>
      </c>
      <c r="E627" s="27">
        <f>D628/D627</f>
        <v>0.56618540008096074</v>
      </c>
      <c r="F627" s="29"/>
      <c r="L627" s="27">
        <v>145</v>
      </c>
      <c r="M627" s="29"/>
      <c r="N627" s="27">
        <v>16.943000000000001</v>
      </c>
      <c r="O627" s="27">
        <f>N628/N627</f>
        <v>0.29079855987723541</v>
      </c>
      <c r="P627" s="29"/>
      <c r="Y627" s="27">
        <v>31</v>
      </c>
      <c r="Z627" s="29"/>
      <c r="AA627" s="27">
        <v>9.6029999999999998</v>
      </c>
      <c r="AB627" s="27">
        <f>AA628/AA627</f>
        <v>0.7170675830469645</v>
      </c>
      <c r="AC627" s="29"/>
      <c r="AI627" s="27">
        <v>31</v>
      </c>
      <c r="AJ627" s="29"/>
      <c r="AK627" s="27">
        <v>7.7530000000000001</v>
      </c>
      <c r="AL627" s="27">
        <f>AK628/AK627</f>
        <v>0.49438926867019223</v>
      </c>
      <c r="AM627" s="29"/>
    </row>
    <row r="628" spans="1:43" s="27" customFormat="1" ht="20.25" customHeight="1" x14ac:dyDescent="0.45">
      <c r="A628" s="26"/>
      <c r="B628" s="28">
        <v>146</v>
      </c>
      <c r="C628" s="29"/>
      <c r="D628" s="27">
        <v>4.1959999999999997</v>
      </c>
      <c r="E628" s="29"/>
      <c r="F628" s="29"/>
      <c r="L628" s="27">
        <v>146</v>
      </c>
      <c r="M628" s="29"/>
      <c r="N628" s="27">
        <v>4.9269999999999996</v>
      </c>
      <c r="O628" s="29"/>
      <c r="P628" s="29"/>
      <c r="Y628" s="27">
        <v>32</v>
      </c>
      <c r="Z628" s="29"/>
      <c r="AA628" s="27">
        <v>6.8860000000000001</v>
      </c>
      <c r="AB628" s="29"/>
      <c r="AC628" s="29"/>
      <c r="AI628" s="27">
        <v>32</v>
      </c>
      <c r="AJ628" s="29"/>
      <c r="AK628" s="27">
        <v>3.8330000000000002</v>
      </c>
      <c r="AL628" s="29"/>
      <c r="AM628" s="29"/>
    </row>
    <row r="629" spans="1:43" s="27" customFormat="1" ht="20.25" customHeight="1" x14ac:dyDescent="0.45">
      <c r="A629" s="26"/>
      <c r="B629" s="28">
        <v>147</v>
      </c>
      <c r="C629" s="27">
        <v>54.170999999999999</v>
      </c>
      <c r="D629" s="29"/>
      <c r="E629" s="29"/>
      <c r="F629" s="29"/>
      <c r="L629" s="27">
        <v>147</v>
      </c>
      <c r="M629" s="27">
        <v>83.412000000000006</v>
      </c>
      <c r="N629" s="29"/>
      <c r="O629" s="29"/>
      <c r="P629" s="29"/>
      <c r="Y629" s="27">
        <v>33</v>
      </c>
      <c r="Z629" s="27">
        <v>86.463999999999999</v>
      </c>
      <c r="AA629" s="29"/>
      <c r="AB629" s="29"/>
      <c r="AC629" s="29"/>
      <c r="AI629" s="27">
        <v>33</v>
      </c>
      <c r="AJ629" s="27">
        <v>76.19</v>
      </c>
      <c r="AK629" s="29"/>
      <c r="AL629" s="29"/>
      <c r="AM629" s="29"/>
    </row>
    <row r="630" spans="1:43" s="27" customFormat="1" ht="20.25" customHeight="1" x14ac:dyDescent="0.45">
      <c r="A630" s="26"/>
      <c r="B630" s="28">
        <v>148</v>
      </c>
      <c r="E630" s="29"/>
      <c r="F630" s="29"/>
      <c r="H630" s="29"/>
      <c r="I630" s="27">
        <v>5.8869999999999996</v>
      </c>
      <c r="J630" s="27">
        <f>I631/I630</f>
        <v>0.83896721589943957</v>
      </c>
      <c r="L630" s="27">
        <v>148</v>
      </c>
      <c r="M630" s="29"/>
      <c r="N630" s="27">
        <v>5.2869999999999999</v>
      </c>
      <c r="O630" s="27">
        <f>N631/N630</f>
        <v>0.75014185738604133</v>
      </c>
      <c r="P630" s="29"/>
      <c r="Y630" s="27">
        <v>34</v>
      </c>
      <c r="AB630" s="29"/>
      <c r="AC630" s="29"/>
      <c r="AE630" s="29"/>
      <c r="AF630" s="27">
        <v>6.5679999999999996</v>
      </c>
      <c r="AG630" s="27">
        <f>AF631/AF630</f>
        <v>0.78989037758830694</v>
      </c>
      <c r="AI630" s="27">
        <v>34</v>
      </c>
      <c r="AJ630" s="29"/>
      <c r="AK630" s="27">
        <v>7.51</v>
      </c>
      <c r="AL630" s="27">
        <f>AK631/AK630</f>
        <v>0.35233022636484684</v>
      </c>
      <c r="AM630" s="29"/>
    </row>
    <row r="631" spans="1:43" s="27" customFormat="1" ht="20.25" customHeight="1" x14ac:dyDescent="0.45">
      <c r="A631" s="26"/>
      <c r="B631" s="28">
        <v>149</v>
      </c>
      <c r="E631" s="29"/>
      <c r="F631" s="29"/>
      <c r="H631" s="29"/>
      <c r="I631" s="27">
        <v>4.9390000000000001</v>
      </c>
      <c r="L631" s="27">
        <v>149</v>
      </c>
      <c r="M631" s="29"/>
      <c r="N631" s="27">
        <v>3.9660000000000002</v>
      </c>
      <c r="O631" s="29"/>
      <c r="P631" s="29"/>
      <c r="Y631" s="27">
        <v>35</v>
      </c>
      <c r="AB631" s="29"/>
      <c r="AC631" s="29"/>
      <c r="AE631" s="29"/>
      <c r="AF631" s="27">
        <v>5.1879999999999997</v>
      </c>
      <c r="AI631" s="27">
        <v>35</v>
      </c>
      <c r="AJ631" s="29"/>
      <c r="AK631" s="27">
        <v>2.6459999999999999</v>
      </c>
      <c r="AL631" s="29"/>
      <c r="AM631" s="29"/>
    </row>
    <row r="632" spans="1:43" s="27" customFormat="1" ht="20.25" customHeight="1" x14ac:dyDescent="0.45">
      <c r="A632" s="26"/>
      <c r="B632" s="28">
        <v>150</v>
      </c>
      <c r="E632" s="29"/>
      <c r="F632" s="29"/>
      <c r="H632" s="27">
        <v>122.4</v>
      </c>
      <c r="I632" s="29"/>
      <c r="L632" s="27">
        <v>150</v>
      </c>
      <c r="M632" s="27">
        <v>84.474000000000004</v>
      </c>
      <c r="N632" s="29"/>
      <c r="O632" s="29"/>
      <c r="P632" s="29"/>
      <c r="Y632" s="27">
        <v>36</v>
      </c>
      <c r="AB632" s="29"/>
      <c r="AC632" s="29"/>
      <c r="AE632" s="27">
        <v>94.441999999999993</v>
      </c>
      <c r="AF632" s="29"/>
      <c r="AI632" s="27">
        <v>36</v>
      </c>
      <c r="AJ632" s="27">
        <v>57.878999999999998</v>
      </c>
      <c r="AK632" s="29"/>
      <c r="AL632" s="29"/>
      <c r="AM632" s="29"/>
    </row>
    <row r="633" spans="1:43" s="27" customFormat="1" ht="20.25" customHeight="1" x14ac:dyDescent="0.45">
      <c r="A633" s="26"/>
      <c r="B633" s="28">
        <v>151</v>
      </c>
      <c r="C633" s="29"/>
      <c r="D633" s="27">
        <v>6.968</v>
      </c>
      <c r="E633" s="27">
        <f>D634/D633</f>
        <v>0.56128013777267505</v>
      </c>
      <c r="F633" s="29"/>
      <c r="L633" s="27">
        <v>151</v>
      </c>
      <c r="O633" s="29"/>
      <c r="P633" s="29"/>
      <c r="Y633" s="27">
        <v>37</v>
      </c>
      <c r="AB633" s="29"/>
      <c r="AC633" s="29"/>
      <c r="AE633" s="29"/>
      <c r="AF633" s="27">
        <v>11.601000000000001</v>
      </c>
      <c r="AG633" s="27">
        <f>AF634/AF633</f>
        <v>0.48504439272476507</v>
      </c>
      <c r="AI633" s="27">
        <v>37</v>
      </c>
      <c r="AJ633" s="29"/>
      <c r="AK633" s="27">
        <v>10.491</v>
      </c>
      <c r="AL633" s="27">
        <f>AK634/AK633</f>
        <v>0.54799351825374132</v>
      </c>
      <c r="AM633" s="29"/>
    </row>
    <row r="634" spans="1:43" s="27" customFormat="1" ht="20.25" customHeight="1" x14ac:dyDescent="0.45">
      <c r="A634" s="26"/>
      <c r="B634" s="28">
        <v>152</v>
      </c>
      <c r="C634" s="29"/>
      <c r="D634" s="27">
        <v>3.911</v>
      </c>
      <c r="E634" s="29"/>
      <c r="F634" s="29"/>
      <c r="L634" s="27">
        <v>152</v>
      </c>
      <c r="O634" s="29"/>
      <c r="P634" s="29"/>
      <c r="R634" s="29"/>
      <c r="S634" s="27">
        <v>5.5339999999999998</v>
      </c>
      <c r="T634" s="27">
        <f>S635/S634</f>
        <v>0.77574990964943991</v>
      </c>
      <c r="Y634" s="27">
        <v>38</v>
      </c>
      <c r="AB634" s="29"/>
      <c r="AC634" s="29"/>
      <c r="AE634" s="29"/>
      <c r="AF634" s="27">
        <v>5.6269999999999998</v>
      </c>
      <c r="AI634" s="27">
        <v>38</v>
      </c>
      <c r="AJ634" s="29"/>
      <c r="AK634" s="27">
        <v>5.7489999999999997</v>
      </c>
      <c r="AL634" s="29"/>
      <c r="AM634" s="29"/>
    </row>
    <row r="635" spans="1:43" s="27" customFormat="1" ht="20.25" customHeight="1" x14ac:dyDescent="0.45">
      <c r="A635" s="26"/>
      <c r="B635" s="28">
        <v>153</v>
      </c>
      <c r="C635" s="27">
        <v>64.44</v>
      </c>
      <c r="D635" s="29"/>
      <c r="E635" s="29"/>
      <c r="F635" s="29"/>
      <c r="L635" s="27">
        <v>153</v>
      </c>
      <c r="O635" s="29"/>
      <c r="P635" s="29"/>
      <c r="R635" s="29"/>
      <c r="S635" s="27">
        <v>4.2930000000000001</v>
      </c>
      <c r="Y635" s="27">
        <v>39</v>
      </c>
      <c r="AB635" s="29"/>
      <c r="AC635" s="29"/>
      <c r="AE635" s="27">
        <v>152.32300000000001</v>
      </c>
      <c r="AF635" s="29"/>
      <c r="AI635" s="27">
        <v>39</v>
      </c>
      <c r="AJ635" s="27">
        <v>84.617000000000004</v>
      </c>
      <c r="AK635" s="29"/>
      <c r="AL635" s="29"/>
      <c r="AM635" s="29"/>
    </row>
    <row r="636" spans="1:43" s="27" customFormat="1" ht="20.25" customHeight="1" x14ac:dyDescent="0.45">
      <c r="A636" s="26"/>
      <c r="B636" s="28">
        <v>154</v>
      </c>
      <c r="C636" s="29"/>
      <c r="D636" s="27">
        <v>6.3070000000000004</v>
      </c>
      <c r="E636" s="27">
        <f>D637/D636</f>
        <v>0.70857777073093386</v>
      </c>
      <c r="F636" s="29"/>
      <c r="L636" s="27">
        <v>154</v>
      </c>
      <c r="M636" s="29"/>
      <c r="N636" s="27">
        <v>15.221</v>
      </c>
      <c r="O636" s="27">
        <f>N637/N636</f>
        <v>0.27639445502923593</v>
      </c>
      <c r="P636" s="29"/>
      <c r="R636" s="27">
        <v>113.245</v>
      </c>
      <c r="S636" s="29"/>
      <c r="Y636" s="27">
        <v>40</v>
      </c>
      <c r="AB636" s="29"/>
      <c r="AC636" s="29"/>
      <c r="AE636" s="29"/>
      <c r="AF636" s="27">
        <v>8.94</v>
      </c>
      <c r="AG636" s="27">
        <f>AF637/AF636</f>
        <v>0.41398210290827742</v>
      </c>
      <c r="AI636" s="27">
        <v>40</v>
      </c>
      <c r="AL636" s="29"/>
      <c r="AM636" s="29"/>
      <c r="AO636" s="29"/>
      <c r="AP636" s="27">
        <v>11.917999999999999</v>
      </c>
      <c r="AQ636" s="27">
        <f>AP637/AP636</f>
        <v>0.40543715388488005</v>
      </c>
    </row>
    <row r="637" spans="1:43" s="27" customFormat="1" ht="20.25" customHeight="1" x14ac:dyDescent="0.45">
      <c r="A637" s="26"/>
      <c r="B637" s="28">
        <v>155</v>
      </c>
      <c r="C637" s="29"/>
      <c r="D637" s="27">
        <v>4.4690000000000003</v>
      </c>
      <c r="E637" s="29"/>
      <c r="F637" s="29"/>
      <c r="L637" s="27">
        <v>155</v>
      </c>
      <c r="M637" s="29"/>
      <c r="N637" s="27">
        <v>4.2069999999999999</v>
      </c>
      <c r="O637" s="29"/>
      <c r="P637" s="29"/>
      <c r="Y637" s="27">
        <v>41</v>
      </c>
      <c r="AB637" s="29"/>
      <c r="AC637" s="29"/>
      <c r="AE637" s="29"/>
      <c r="AF637" s="27">
        <v>3.7010000000000001</v>
      </c>
      <c r="AI637" s="27">
        <v>41</v>
      </c>
      <c r="AL637" s="29"/>
      <c r="AM637" s="29"/>
      <c r="AO637" s="29"/>
      <c r="AP637" s="27">
        <v>4.8319999999999999</v>
      </c>
    </row>
    <row r="638" spans="1:43" s="27" customFormat="1" ht="20.25" customHeight="1" x14ac:dyDescent="0.45">
      <c r="A638" s="26"/>
      <c r="B638" s="28">
        <v>156</v>
      </c>
      <c r="C638" s="27">
        <v>60.622999999999998</v>
      </c>
      <c r="D638" s="29"/>
      <c r="E638" s="29"/>
      <c r="F638" s="29"/>
      <c r="L638" s="27">
        <v>156</v>
      </c>
      <c r="M638" s="27">
        <v>75.8</v>
      </c>
      <c r="N638" s="29"/>
      <c r="O638" s="29"/>
      <c r="P638" s="29"/>
      <c r="Y638" s="27">
        <v>42</v>
      </c>
      <c r="AB638" s="29"/>
      <c r="AC638" s="29"/>
      <c r="AE638" s="27">
        <v>103.675</v>
      </c>
      <c r="AF638" s="29"/>
      <c r="AI638" s="27">
        <v>42</v>
      </c>
      <c r="AL638" s="29"/>
      <c r="AM638" s="29"/>
      <c r="AO638" s="27">
        <v>165.27199999999999</v>
      </c>
      <c r="AP638" s="29"/>
    </row>
    <row r="639" spans="1:43" s="27" customFormat="1" ht="20.25" customHeight="1" x14ac:dyDescent="0.45">
      <c r="A639" s="26"/>
      <c r="B639" s="28">
        <v>157</v>
      </c>
      <c r="C639" s="29"/>
      <c r="D639" s="27">
        <v>8.6310000000000002</v>
      </c>
      <c r="E639" s="27">
        <f>D640/D639</f>
        <v>0.69111342833970568</v>
      </c>
      <c r="F639" s="29"/>
      <c r="L639" s="27">
        <v>157</v>
      </c>
      <c r="O639" s="29"/>
      <c r="P639" s="29"/>
      <c r="Y639" s="27">
        <v>43</v>
      </c>
      <c r="Z639" s="29"/>
      <c r="AA639" s="27">
        <v>8.5530000000000008</v>
      </c>
      <c r="AB639" s="27">
        <f>AA640/AA639</f>
        <v>0.59066994037179932</v>
      </c>
      <c r="AC639" s="29"/>
      <c r="AI639" s="27">
        <v>43</v>
      </c>
      <c r="AJ639" s="29"/>
      <c r="AK639" s="27">
        <v>6.6609999999999996</v>
      </c>
      <c r="AL639" s="27">
        <f>AK640/AK639</f>
        <v>0.63819246359405502</v>
      </c>
      <c r="AM639" s="29"/>
    </row>
    <row r="640" spans="1:43" s="27" customFormat="1" ht="20.25" customHeight="1" x14ac:dyDescent="0.45">
      <c r="A640" s="26"/>
      <c r="B640" s="28">
        <v>158</v>
      </c>
      <c r="C640" s="29"/>
      <c r="D640" s="27">
        <v>5.9649999999999999</v>
      </c>
      <c r="E640" s="29"/>
      <c r="F640" s="29"/>
      <c r="L640" s="27">
        <v>158</v>
      </c>
      <c r="O640" s="29"/>
      <c r="P640" s="29"/>
      <c r="R640" s="29"/>
      <c r="S640" s="27">
        <v>11.573</v>
      </c>
      <c r="T640" s="27">
        <f>S641/S640</f>
        <v>0.44742072064287564</v>
      </c>
      <c r="Y640" s="27">
        <v>44</v>
      </c>
      <c r="Z640" s="29"/>
      <c r="AA640" s="27">
        <v>5.0519999999999996</v>
      </c>
      <c r="AB640" s="29"/>
      <c r="AC640" s="29"/>
      <c r="AI640" s="27">
        <v>44</v>
      </c>
      <c r="AJ640" s="29"/>
      <c r="AK640" s="27">
        <v>4.2510000000000003</v>
      </c>
      <c r="AL640" s="29"/>
      <c r="AM640" s="29"/>
    </row>
    <row r="641" spans="1:43" s="27" customFormat="1" ht="20.25" customHeight="1" x14ac:dyDescent="0.45">
      <c r="A641" s="26"/>
      <c r="B641" s="28">
        <v>159</v>
      </c>
      <c r="C641" s="27">
        <v>52.518999999999998</v>
      </c>
      <c r="D641" s="29"/>
      <c r="E641" s="29"/>
      <c r="F641" s="29"/>
      <c r="L641" s="27">
        <v>159</v>
      </c>
      <c r="O641" s="29"/>
      <c r="P641" s="29"/>
      <c r="R641" s="29"/>
      <c r="S641" s="27">
        <v>5.1779999999999999</v>
      </c>
      <c r="Y641" s="27">
        <v>45</v>
      </c>
      <c r="Z641" s="27">
        <v>57.857999999999997</v>
      </c>
      <c r="AA641" s="29"/>
      <c r="AB641" s="29"/>
      <c r="AC641" s="29"/>
      <c r="AI641" s="27">
        <v>45</v>
      </c>
      <c r="AJ641" s="27">
        <v>59.375999999999998</v>
      </c>
      <c r="AK641" s="29"/>
      <c r="AL641" s="29"/>
      <c r="AM641" s="29"/>
    </row>
    <row r="642" spans="1:43" s="27" customFormat="1" ht="20.25" customHeight="1" x14ac:dyDescent="0.45">
      <c r="A642" s="26"/>
      <c r="B642" s="28">
        <v>160</v>
      </c>
      <c r="E642" s="29"/>
      <c r="F642" s="29"/>
      <c r="H642" s="29"/>
      <c r="I642" s="27">
        <v>9.1340000000000003</v>
      </c>
      <c r="J642" s="27">
        <f>I643/I642</f>
        <v>0.45653601926866649</v>
      </c>
      <c r="L642" s="27">
        <v>160</v>
      </c>
      <c r="M642" s="29"/>
      <c r="N642" s="27">
        <v>12.494</v>
      </c>
      <c r="O642" s="27">
        <f>N643/N642</f>
        <v>0.47126620777973427</v>
      </c>
      <c r="P642" s="29"/>
      <c r="R642" s="27">
        <v>157.91999999999999</v>
      </c>
      <c r="S642" s="29"/>
      <c r="Y642" s="27">
        <v>46</v>
      </c>
      <c r="AB642" s="29"/>
      <c r="AC642" s="29"/>
      <c r="AE642" s="29"/>
      <c r="AF642" s="27">
        <v>7.9450000000000003</v>
      </c>
      <c r="AG642" s="27">
        <f>AF643/AF642</f>
        <v>0.72473253618628064</v>
      </c>
      <c r="AI642" s="27">
        <v>46</v>
      </c>
      <c r="AJ642" s="29"/>
      <c r="AK642" s="27">
        <v>8.9160000000000004</v>
      </c>
      <c r="AL642" s="27">
        <f>AK643/AK642</f>
        <v>0.60520412741139518</v>
      </c>
      <c r="AM642" s="29"/>
    </row>
    <row r="643" spans="1:43" s="27" customFormat="1" ht="20.25" customHeight="1" x14ac:dyDescent="0.45">
      <c r="A643" s="26"/>
      <c r="B643" s="28">
        <v>161</v>
      </c>
      <c r="E643" s="29"/>
      <c r="F643" s="29"/>
      <c r="H643" s="29"/>
      <c r="I643" s="27">
        <v>4.17</v>
      </c>
      <c r="L643" s="27">
        <v>161</v>
      </c>
      <c r="M643" s="29"/>
      <c r="N643" s="27">
        <v>5.8879999999999999</v>
      </c>
      <c r="O643" s="29"/>
      <c r="P643" s="29"/>
      <c r="Y643" s="27">
        <v>47</v>
      </c>
      <c r="AB643" s="29"/>
      <c r="AC643" s="29"/>
      <c r="AE643" s="29"/>
      <c r="AF643" s="27">
        <v>5.758</v>
      </c>
      <c r="AI643" s="27">
        <v>47</v>
      </c>
      <c r="AJ643" s="29"/>
      <c r="AK643" s="27">
        <v>5.3959999999999999</v>
      </c>
      <c r="AL643" s="29"/>
      <c r="AM643" s="29"/>
    </row>
    <row r="644" spans="1:43" s="27" customFormat="1" ht="20.25" customHeight="1" x14ac:dyDescent="0.45">
      <c r="A644" s="26"/>
      <c r="B644" s="28">
        <v>162</v>
      </c>
      <c r="E644" s="29"/>
      <c r="F644" s="29"/>
      <c r="H644" s="27">
        <v>101.114</v>
      </c>
      <c r="I644" s="29"/>
      <c r="L644" s="27">
        <v>162</v>
      </c>
      <c r="M644" s="27">
        <v>45.497999999999998</v>
      </c>
      <c r="N644" s="29"/>
      <c r="O644" s="29"/>
      <c r="P644" s="29"/>
      <c r="Y644" s="27">
        <v>48</v>
      </c>
      <c r="AB644" s="29"/>
      <c r="AC644" s="29"/>
      <c r="AE644" s="27">
        <v>105.88800000000001</v>
      </c>
      <c r="AF644" s="29"/>
      <c r="AI644" s="27">
        <v>48</v>
      </c>
      <c r="AJ644" s="27">
        <v>29.73</v>
      </c>
      <c r="AK644" s="29"/>
      <c r="AL644" s="29"/>
      <c r="AM644" s="29"/>
    </row>
    <row r="645" spans="1:43" s="27" customFormat="1" ht="20.25" customHeight="1" x14ac:dyDescent="0.45">
      <c r="A645" s="26"/>
      <c r="B645" s="28">
        <v>163</v>
      </c>
      <c r="E645" s="29"/>
      <c r="F645" s="29"/>
      <c r="H645" s="29"/>
      <c r="I645" s="27">
        <v>8.6129999999999995</v>
      </c>
      <c r="J645" s="27">
        <f>I646/I645</f>
        <v>0.37060257749912928</v>
      </c>
      <c r="L645" s="27">
        <v>163</v>
      </c>
      <c r="O645" s="29"/>
      <c r="P645" s="29"/>
      <c r="R645" s="29"/>
      <c r="S645" s="27">
        <v>10.458</v>
      </c>
      <c r="T645" s="27">
        <f>S646/S645</f>
        <v>0.44817364696882772</v>
      </c>
      <c r="Y645" s="27">
        <v>49</v>
      </c>
      <c r="Z645" s="29"/>
      <c r="AA645" s="27">
        <v>8.173</v>
      </c>
      <c r="AB645" s="27">
        <f>AA646/AA645</f>
        <v>0.39581549002814143</v>
      </c>
      <c r="AC645" s="29"/>
      <c r="AI645" s="27">
        <v>49</v>
      </c>
      <c r="AL645" s="29"/>
      <c r="AM645" s="29"/>
      <c r="AO645" s="29"/>
      <c r="AP645" s="27">
        <v>9.5220000000000002</v>
      </c>
      <c r="AQ645" s="27">
        <f>AP646/AP645</f>
        <v>0.42911153119092632</v>
      </c>
    </row>
    <row r="646" spans="1:43" s="27" customFormat="1" ht="20.25" customHeight="1" x14ac:dyDescent="0.45">
      <c r="A646" s="26"/>
      <c r="B646" s="28">
        <v>164</v>
      </c>
      <c r="E646" s="29"/>
      <c r="F646" s="29"/>
      <c r="H646" s="29"/>
      <c r="I646" s="27">
        <v>3.1920000000000002</v>
      </c>
      <c r="L646" s="27">
        <v>164</v>
      </c>
      <c r="O646" s="29"/>
      <c r="P646" s="29"/>
      <c r="R646" s="29"/>
      <c r="S646" s="27">
        <v>4.6870000000000003</v>
      </c>
      <c r="Y646" s="27">
        <v>50</v>
      </c>
      <c r="Z646" s="29"/>
      <c r="AA646" s="27">
        <v>3.2349999999999999</v>
      </c>
      <c r="AB646" s="29"/>
      <c r="AC646" s="29"/>
      <c r="AI646" s="27">
        <v>50</v>
      </c>
      <c r="AL646" s="29"/>
      <c r="AM646" s="29"/>
      <c r="AO646" s="29"/>
      <c r="AP646" s="27">
        <v>4.0860000000000003</v>
      </c>
    </row>
    <row r="647" spans="1:43" s="27" customFormat="1" ht="20.25" customHeight="1" x14ac:dyDescent="0.45">
      <c r="A647" s="26"/>
      <c r="B647" s="28">
        <v>165</v>
      </c>
      <c r="E647" s="29"/>
      <c r="F647" s="29"/>
      <c r="H647" s="27">
        <v>139.21600000000001</v>
      </c>
      <c r="I647" s="29"/>
      <c r="L647" s="27">
        <v>165</v>
      </c>
      <c r="O647" s="29"/>
      <c r="P647" s="29"/>
      <c r="R647" s="27">
        <v>156.28299999999999</v>
      </c>
      <c r="S647" s="29"/>
      <c r="Y647" s="27">
        <v>51</v>
      </c>
      <c r="Z647" s="27">
        <v>34.197000000000003</v>
      </c>
      <c r="AA647" s="29"/>
      <c r="AB647" s="29"/>
      <c r="AC647" s="29"/>
      <c r="AI647" s="27">
        <v>51</v>
      </c>
      <c r="AL647" s="29"/>
      <c r="AM647" s="29"/>
      <c r="AO647" s="27">
        <v>151.35900000000001</v>
      </c>
      <c r="AP647" s="29"/>
    </row>
    <row r="648" spans="1:43" s="27" customFormat="1" ht="20.25" customHeight="1" x14ac:dyDescent="0.45">
      <c r="A648" s="26"/>
      <c r="B648" s="28">
        <v>166</v>
      </c>
      <c r="E648" s="29"/>
      <c r="F648" s="29"/>
      <c r="H648" s="29"/>
      <c r="I648" s="27">
        <v>11.792</v>
      </c>
      <c r="J648" s="27">
        <f>I649/I648</f>
        <v>0.36024423337856176</v>
      </c>
      <c r="L648" s="27">
        <v>166</v>
      </c>
      <c r="M648" s="29"/>
      <c r="N648" s="27">
        <v>12.467000000000001</v>
      </c>
      <c r="O648" s="27">
        <f>N649/N648</f>
        <v>0.45167241517606482</v>
      </c>
      <c r="P648" s="29"/>
      <c r="Y648" s="27">
        <v>52</v>
      </c>
      <c r="AB648" s="29"/>
      <c r="AC648" s="29"/>
      <c r="AE648" s="29"/>
      <c r="AF648" s="27">
        <v>11.137</v>
      </c>
      <c r="AG648" s="27">
        <f>AF649/AF648</f>
        <v>0.39085929783604201</v>
      </c>
      <c r="AI648" s="27">
        <v>52</v>
      </c>
      <c r="AL648" s="29"/>
      <c r="AM648" s="29"/>
      <c r="AO648" s="29"/>
      <c r="AP648" s="27">
        <v>7.3529999999999998</v>
      </c>
      <c r="AQ648" s="27">
        <f>AP649/AP648</f>
        <v>0.45777233782129745</v>
      </c>
    </row>
    <row r="649" spans="1:43" s="27" customFormat="1" ht="20.25" customHeight="1" x14ac:dyDescent="0.45">
      <c r="A649" s="26"/>
      <c r="B649" s="28">
        <v>167</v>
      </c>
      <c r="E649" s="29"/>
      <c r="F649" s="29"/>
      <c r="H649" s="29"/>
      <c r="I649" s="27">
        <v>4.2480000000000002</v>
      </c>
      <c r="L649" s="27">
        <v>167</v>
      </c>
      <c r="M649" s="29"/>
      <c r="N649" s="27">
        <v>5.6310000000000002</v>
      </c>
      <c r="O649" s="29"/>
      <c r="P649" s="29"/>
      <c r="Y649" s="27">
        <v>53</v>
      </c>
      <c r="AB649" s="29"/>
      <c r="AC649" s="29"/>
      <c r="AE649" s="29"/>
      <c r="AF649" s="27">
        <v>4.3529999999999998</v>
      </c>
      <c r="AI649" s="27">
        <v>53</v>
      </c>
      <c r="AL649" s="29"/>
      <c r="AM649" s="29"/>
      <c r="AO649" s="29"/>
      <c r="AP649" s="27">
        <v>3.3660000000000001</v>
      </c>
    </row>
    <row r="650" spans="1:43" s="27" customFormat="1" ht="20.25" customHeight="1" x14ac:dyDescent="0.45">
      <c r="A650" s="26"/>
      <c r="B650" s="28">
        <v>168</v>
      </c>
      <c r="E650" s="29"/>
      <c r="F650" s="29"/>
      <c r="H650" s="27">
        <v>129.96199999999999</v>
      </c>
      <c r="I650" s="29"/>
      <c r="L650" s="27">
        <v>168</v>
      </c>
      <c r="M650" s="27">
        <v>86.248999999999995</v>
      </c>
      <c r="N650" s="29"/>
      <c r="O650" s="29"/>
      <c r="P650" s="29"/>
      <c r="Y650" s="27">
        <v>54</v>
      </c>
      <c r="AB650" s="29"/>
      <c r="AC650" s="29"/>
      <c r="AE650" s="27">
        <v>159.73099999999999</v>
      </c>
      <c r="AF650" s="29"/>
      <c r="AI650" s="27">
        <v>54</v>
      </c>
      <c r="AL650" s="29"/>
      <c r="AM650" s="29"/>
      <c r="AO650" s="27">
        <v>136.31700000000001</v>
      </c>
      <c r="AP650" s="29"/>
    </row>
    <row r="651" spans="1:43" s="27" customFormat="1" ht="20.25" customHeight="1" x14ac:dyDescent="0.45">
      <c r="A651" s="26"/>
      <c r="B651" s="28">
        <v>169</v>
      </c>
      <c r="C651" s="29"/>
      <c r="D651" s="27">
        <v>8.59</v>
      </c>
      <c r="E651" s="27">
        <f>D652/D651</f>
        <v>0.72735739231664731</v>
      </c>
      <c r="F651" s="29"/>
      <c r="L651" s="27">
        <v>169</v>
      </c>
      <c r="O651" s="29"/>
      <c r="P651" s="29"/>
      <c r="R651" s="29"/>
      <c r="S651" s="27">
        <v>7.7530000000000001</v>
      </c>
      <c r="T651" s="27">
        <f>S652/S651</f>
        <v>0.55023861730942858</v>
      </c>
      <c r="Y651" s="27">
        <v>55</v>
      </c>
      <c r="AB651" s="29"/>
      <c r="AC651" s="29"/>
      <c r="AE651" s="29"/>
      <c r="AF651" s="27">
        <v>7.1369999999999996</v>
      </c>
      <c r="AG651" s="27">
        <f>AF652/AF651</f>
        <v>0.66764747092615939</v>
      </c>
      <c r="AI651" s="27">
        <v>55</v>
      </c>
      <c r="AJ651" s="29"/>
      <c r="AK651" s="27">
        <v>8.5220000000000002</v>
      </c>
      <c r="AL651" s="27">
        <f>AK652/AK651</f>
        <v>0.56137057028866455</v>
      </c>
      <c r="AM651" s="29"/>
    </row>
    <row r="652" spans="1:43" s="27" customFormat="1" ht="20.25" customHeight="1" x14ac:dyDescent="0.45">
      <c r="A652" s="26"/>
      <c r="B652" s="28">
        <v>170</v>
      </c>
      <c r="C652" s="29"/>
      <c r="D652" s="27">
        <v>6.2480000000000002</v>
      </c>
      <c r="E652" s="29"/>
      <c r="F652" s="29"/>
      <c r="L652" s="27">
        <v>170</v>
      </c>
      <c r="O652" s="29"/>
      <c r="P652" s="29"/>
      <c r="R652" s="29"/>
      <c r="S652" s="27">
        <v>4.266</v>
      </c>
      <c r="Y652" s="27">
        <v>56</v>
      </c>
      <c r="AB652" s="29"/>
      <c r="AC652" s="29"/>
      <c r="AE652" s="29"/>
      <c r="AF652" s="27">
        <v>4.7649999999999997</v>
      </c>
      <c r="AI652" s="27">
        <v>56</v>
      </c>
      <c r="AJ652" s="29"/>
      <c r="AK652" s="27">
        <v>4.7839999999999998</v>
      </c>
      <c r="AL652" s="29"/>
      <c r="AM652" s="29"/>
    </row>
    <row r="653" spans="1:43" s="27" customFormat="1" ht="20.25" customHeight="1" x14ac:dyDescent="0.45">
      <c r="A653" s="26"/>
      <c r="B653" s="28">
        <v>171</v>
      </c>
      <c r="C653" s="27">
        <v>75.168000000000006</v>
      </c>
      <c r="D653" s="29"/>
      <c r="E653" s="29"/>
      <c r="F653" s="29"/>
      <c r="L653" s="27">
        <v>171</v>
      </c>
      <c r="O653" s="29"/>
      <c r="P653" s="29"/>
      <c r="R653" s="27">
        <v>113.79</v>
      </c>
      <c r="S653" s="29"/>
      <c r="Y653" s="27">
        <v>57</v>
      </c>
      <c r="AB653" s="29"/>
      <c r="AC653" s="29"/>
      <c r="AE653" s="27">
        <v>178.58099999999999</v>
      </c>
      <c r="AF653" s="29"/>
      <c r="AI653" s="27">
        <v>57</v>
      </c>
      <c r="AJ653" s="27">
        <v>88.802999999999997</v>
      </c>
      <c r="AK653" s="29"/>
      <c r="AL653" s="29"/>
      <c r="AM653" s="29"/>
    </row>
    <row r="654" spans="1:43" s="27" customFormat="1" ht="20.25" customHeight="1" x14ac:dyDescent="0.45">
      <c r="A654" s="26"/>
      <c r="B654" s="28">
        <v>172</v>
      </c>
      <c r="C654" s="29"/>
      <c r="D654" s="27">
        <v>8.1359999999999992</v>
      </c>
      <c r="E654" s="27">
        <f>D655/D654</f>
        <v>0.68178466076696165</v>
      </c>
      <c r="F654" s="29"/>
      <c r="L654" s="27">
        <v>172</v>
      </c>
      <c r="O654" s="29"/>
      <c r="P654" s="29"/>
      <c r="R654" s="29"/>
      <c r="S654" s="27">
        <v>9.5030000000000001</v>
      </c>
      <c r="T654" s="27">
        <f>S655/S654</f>
        <v>0.36662106703146374</v>
      </c>
      <c r="Y654" s="27">
        <v>58</v>
      </c>
      <c r="AB654" s="29"/>
      <c r="AC654" s="29"/>
      <c r="AE654" s="29"/>
      <c r="AF654" s="27">
        <v>6.5679999999999996</v>
      </c>
      <c r="AG654" s="27">
        <f>AF655/AF654</f>
        <v>0.61129719853836784</v>
      </c>
      <c r="AI654" s="27">
        <v>58</v>
      </c>
      <c r="AJ654" s="29"/>
      <c r="AK654" s="27">
        <v>7.92</v>
      </c>
      <c r="AL654" s="27">
        <f>AK655/AK654</f>
        <v>0.58358585858585854</v>
      </c>
      <c r="AM654" s="29"/>
    </row>
    <row r="655" spans="1:43" s="27" customFormat="1" ht="20.25" customHeight="1" x14ac:dyDescent="0.45">
      <c r="A655" s="26"/>
      <c r="B655" s="28">
        <v>173</v>
      </c>
      <c r="C655" s="29"/>
      <c r="D655" s="27">
        <v>5.5469999999999997</v>
      </c>
      <c r="E655" s="29"/>
      <c r="F655" s="29"/>
      <c r="L655" s="27">
        <v>173</v>
      </c>
      <c r="O655" s="29"/>
      <c r="P655" s="29"/>
      <c r="R655" s="29"/>
      <c r="S655" s="27">
        <v>3.484</v>
      </c>
      <c r="Y655" s="27">
        <v>59</v>
      </c>
      <c r="AB655" s="29"/>
      <c r="AC655" s="29"/>
      <c r="AE655" s="29"/>
      <c r="AF655" s="27">
        <v>4.0149999999999997</v>
      </c>
      <c r="AI655" s="27">
        <v>59</v>
      </c>
      <c r="AJ655" s="29"/>
      <c r="AK655" s="27">
        <v>4.6219999999999999</v>
      </c>
      <c r="AL655" s="29"/>
      <c r="AM655" s="29"/>
    </row>
    <row r="656" spans="1:43" s="27" customFormat="1" ht="20.25" customHeight="1" x14ac:dyDescent="0.45">
      <c r="A656" s="26"/>
      <c r="B656" s="28">
        <v>174</v>
      </c>
      <c r="C656" s="27">
        <v>85.204999999999998</v>
      </c>
      <c r="D656" s="29"/>
      <c r="E656" s="29"/>
      <c r="F656" s="29"/>
      <c r="L656" s="27">
        <v>174</v>
      </c>
      <c r="O656" s="29"/>
      <c r="P656" s="29"/>
      <c r="R656" s="27">
        <v>156.18600000000001</v>
      </c>
      <c r="S656" s="29"/>
      <c r="Y656" s="27">
        <v>60</v>
      </c>
      <c r="AB656" s="29"/>
      <c r="AC656" s="29"/>
      <c r="AE656" s="27">
        <v>157.18899999999999</v>
      </c>
      <c r="AF656" s="29"/>
      <c r="AI656" s="27">
        <v>60</v>
      </c>
      <c r="AJ656" s="27">
        <v>54.822000000000003</v>
      </c>
      <c r="AK656" s="29"/>
      <c r="AL656" s="29"/>
      <c r="AM656" s="29"/>
    </row>
    <row r="657" spans="1:43" s="27" customFormat="1" ht="20.25" customHeight="1" x14ac:dyDescent="0.45">
      <c r="A657" s="26"/>
      <c r="B657" s="28"/>
      <c r="C657" s="27">
        <f>C656+C653+C641+C638+C635+C629+C626+C617+C608+C605+C602+C596+C593+C590+C584+C581+C566+C563+C548+C545+C542+C527+C518+C515+C500+C494</f>
        <v>1619.0069999999996</v>
      </c>
      <c r="E657" s="27">
        <f>E654+E651+E639+E636+E633+E627+E624+E615+E606+E603+E600+E594+E591+E588+E582+E579+E564+E561+E546+E543+E540+E525+E516+E513+E498+E492</f>
        <v>14.883044143020427</v>
      </c>
      <c r="H657" s="27">
        <f>H650+H647+H644+H632+H623+H620+H614+H611+H599+H587+H578+H575+H572+H569+H560+H557+H554+H551+H539+H536+H533+H530+H524+H521+H512+H509+H506+H503+H497+H491+H488+H485-(90*32)</f>
        <v>1420.9489999999996</v>
      </c>
      <c r="J657" s="27">
        <f>J648+J645+J642+J630+J621+J618+J612+J609+J597+J585+J576+J573+J570+J567+J558+J555+J552+J549+J537+J534+J531+J528+J522+J519+J510+J507+J504+J501+J495+J489+J486+J483</f>
        <v>18.414810456564286</v>
      </c>
      <c r="L657" s="27">
        <v>175</v>
      </c>
      <c r="M657" s="29"/>
      <c r="N657" s="27">
        <v>12.5</v>
      </c>
      <c r="O657" s="27">
        <f>N658/N657</f>
        <v>0.39872000000000002</v>
      </c>
      <c r="P657" s="29"/>
      <c r="Y657" s="27">
        <v>61</v>
      </c>
      <c r="AB657" s="29"/>
      <c r="AC657" s="29"/>
      <c r="AE657" s="29"/>
      <c r="AF657" s="27">
        <v>5.9660000000000002</v>
      </c>
      <c r="AG657" s="27">
        <f>AF658/AF657</f>
        <v>0.67549446865571572</v>
      </c>
      <c r="AI657" s="27">
        <v>61</v>
      </c>
      <c r="AJ657" s="29"/>
      <c r="AK657" s="27">
        <v>10.698</v>
      </c>
      <c r="AL657" s="27">
        <f>AK658/AK657</f>
        <v>0.47392035894559731</v>
      </c>
      <c r="AM657" s="29"/>
    </row>
    <row r="658" spans="1:43" s="27" customFormat="1" ht="20.25" customHeight="1" x14ac:dyDescent="0.45">
      <c r="A658" s="26"/>
      <c r="B658" s="28"/>
      <c r="C658" s="27">
        <f>C657/26</f>
        <v>62.269499999999987</v>
      </c>
      <c r="E658" s="27">
        <f>E657/26</f>
        <v>0.57242477473155495</v>
      </c>
      <c r="H658" s="27">
        <f>H657/32</f>
        <v>44.404656249999988</v>
      </c>
      <c r="J658" s="27">
        <f>J657/32</f>
        <v>0.57546282676763394</v>
      </c>
      <c r="L658" s="27">
        <v>176</v>
      </c>
      <c r="M658" s="29"/>
      <c r="N658" s="27">
        <v>4.984</v>
      </c>
      <c r="O658" s="29"/>
      <c r="P658" s="29"/>
      <c r="Y658" s="27">
        <v>62</v>
      </c>
      <c r="AB658" s="29"/>
      <c r="AC658" s="29"/>
      <c r="AE658" s="29"/>
      <c r="AF658" s="27">
        <v>4.03</v>
      </c>
      <c r="AI658" s="27">
        <v>62</v>
      </c>
      <c r="AJ658" s="29"/>
      <c r="AK658" s="27">
        <v>5.07</v>
      </c>
      <c r="AL658" s="29"/>
      <c r="AM658" s="29"/>
    </row>
    <row r="659" spans="1:43" s="27" customFormat="1" ht="20.25" customHeight="1" x14ac:dyDescent="0.45">
      <c r="A659" s="26"/>
      <c r="B659" s="28"/>
      <c r="L659" s="27">
        <v>177</v>
      </c>
      <c r="M659" s="27">
        <v>74.353999999999999</v>
      </c>
      <c r="N659" s="29"/>
      <c r="O659" s="29"/>
      <c r="P659" s="29"/>
      <c r="Y659" s="27">
        <v>63</v>
      </c>
      <c r="AB659" s="29"/>
      <c r="AC659" s="29"/>
      <c r="AE659" s="27">
        <v>169.10300000000001</v>
      </c>
      <c r="AF659" s="29"/>
      <c r="AI659" s="27">
        <v>63</v>
      </c>
      <c r="AJ659" s="27">
        <v>87.51</v>
      </c>
      <c r="AK659" s="29"/>
      <c r="AL659" s="29"/>
      <c r="AM659" s="29"/>
    </row>
    <row r="660" spans="1:43" s="27" customFormat="1" ht="20.25" customHeight="1" x14ac:dyDescent="0.45">
      <c r="A660" s="26"/>
      <c r="B660" s="28"/>
      <c r="L660" s="27">
        <v>178</v>
      </c>
      <c r="M660" s="29"/>
      <c r="N660" s="27">
        <v>8.6630000000000003</v>
      </c>
      <c r="O660" s="27">
        <f>N661/N660</f>
        <v>0.63038208472815427</v>
      </c>
      <c r="P660" s="29"/>
      <c r="Y660" s="27">
        <v>64</v>
      </c>
      <c r="AB660" s="29"/>
      <c r="AC660" s="29"/>
      <c r="AE660" s="29"/>
      <c r="AF660" s="27">
        <v>7.4109999999999996</v>
      </c>
      <c r="AG660" s="27">
        <f>AF661/AF660</f>
        <v>0.60180812306031573</v>
      </c>
      <c r="AI660" s="27">
        <v>64</v>
      </c>
      <c r="AL660" s="29"/>
      <c r="AM660" s="29"/>
      <c r="AO660" s="29"/>
      <c r="AP660" s="27">
        <v>7.5759999999999996</v>
      </c>
      <c r="AQ660" s="27">
        <f>AP661/AP660</f>
        <v>0.36166842661034854</v>
      </c>
    </row>
    <row r="661" spans="1:43" s="27" customFormat="1" ht="20.25" customHeight="1" x14ac:dyDescent="0.45">
      <c r="A661" s="26"/>
      <c r="B661" s="28"/>
      <c r="L661" s="27">
        <v>179</v>
      </c>
      <c r="M661" s="29"/>
      <c r="N661" s="27">
        <v>5.4610000000000003</v>
      </c>
      <c r="O661" s="29"/>
      <c r="P661" s="29"/>
      <c r="Y661" s="27">
        <v>65</v>
      </c>
      <c r="AB661" s="29"/>
      <c r="AC661" s="29"/>
      <c r="AE661" s="29"/>
      <c r="AF661" s="27">
        <v>4.46</v>
      </c>
      <c r="AI661" s="27">
        <v>65</v>
      </c>
      <c r="AL661" s="29"/>
      <c r="AM661" s="29"/>
      <c r="AO661" s="29"/>
      <c r="AP661" s="27">
        <v>2.74</v>
      </c>
    </row>
    <row r="662" spans="1:43" s="27" customFormat="1" ht="20.25" customHeight="1" x14ac:dyDescent="0.45">
      <c r="A662" s="26"/>
      <c r="B662" s="28"/>
      <c r="L662" s="27">
        <v>180</v>
      </c>
      <c r="M662" s="27">
        <v>11.744</v>
      </c>
      <c r="N662" s="29"/>
      <c r="O662" s="29"/>
      <c r="P662" s="29"/>
      <c r="Y662" s="27">
        <v>66</v>
      </c>
      <c r="AB662" s="29"/>
      <c r="AC662" s="29"/>
      <c r="AE662" s="27">
        <v>108.38200000000001</v>
      </c>
      <c r="AF662" s="29"/>
      <c r="AI662" s="27">
        <v>66</v>
      </c>
      <c r="AL662" s="29"/>
      <c r="AM662" s="29"/>
      <c r="AO662" s="27">
        <v>171.095</v>
      </c>
      <c r="AP662" s="29"/>
    </row>
    <row r="663" spans="1:43" s="27" customFormat="1" ht="20.25" customHeight="1" x14ac:dyDescent="0.45">
      <c r="A663" s="26"/>
      <c r="B663" s="28"/>
      <c r="L663" s="27">
        <v>181</v>
      </c>
      <c r="M663" s="29"/>
      <c r="N663" s="27">
        <v>9.9719999999999995</v>
      </c>
      <c r="O663" s="27">
        <f>N664/N663</f>
        <v>0.39520657841957479</v>
      </c>
      <c r="P663" s="29"/>
      <c r="Y663" s="27">
        <v>67</v>
      </c>
      <c r="Z663" s="29"/>
      <c r="AA663" s="27">
        <v>9.5419999999999998</v>
      </c>
      <c r="AB663" s="27">
        <f>AA664/AA663</f>
        <v>0.44089289457136865</v>
      </c>
      <c r="AC663" s="29"/>
      <c r="AI663" s="27">
        <v>67</v>
      </c>
      <c r="AL663" s="29"/>
      <c r="AM663" s="29"/>
      <c r="AO663" s="29"/>
      <c r="AP663" s="27">
        <v>10.909000000000001</v>
      </c>
      <c r="AQ663" s="27">
        <f>AP664/AP663</f>
        <v>0.31762764689705747</v>
      </c>
    </row>
    <row r="664" spans="1:43" s="27" customFormat="1" ht="20.25" customHeight="1" x14ac:dyDescent="0.45">
      <c r="A664" s="26"/>
      <c r="B664" s="28"/>
      <c r="L664" s="27">
        <v>182</v>
      </c>
      <c r="M664" s="29"/>
      <c r="N664" s="27">
        <v>3.9409999999999998</v>
      </c>
      <c r="O664" s="29"/>
      <c r="P664" s="29"/>
      <c r="Y664" s="27">
        <v>68</v>
      </c>
      <c r="Z664" s="29"/>
      <c r="AA664" s="27">
        <v>4.2069999999999999</v>
      </c>
      <c r="AB664" s="29"/>
      <c r="AC664" s="29"/>
      <c r="AI664" s="27">
        <v>68</v>
      </c>
      <c r="AL664" s="29"/>
      <c r="AM664" s="29"/>
      <c r="AO664" s="29"/>
      <c r="AP664" s="27">
        <v>3.4649999999999999</v>
      </c>
    </row>
    <row r="665" spans="1:43" s="27" customFormat="1" ht="20.25" customHeight="1" x14ac:dyDescent="0.45">
      <c r="A665" s="26"/>
      <c r="B665" s="28"/>
      <c r="L665" s="27">
        <v>183</v>
      </c>
      <c r="M665" s="27">
        <v>65.283000000000001</v>
      </c>
      <c r="N665" s="29"/>
      <c r="O665" s="29"/>
      <c r="P665" s="29"/>
      <c r="Y665" s="27">
        <v>69</v>
      </c>
      <c r="Z665" s="27">
        <v>81.936000000000007</v>
      </c>
      <c r="AA665" s="29"/>
      <c r="AB665" s="29"/>
      <c r="AC665" s="29"/>
      <c r="AI665" s="27">
        <v>69</v>
      </c>
      <c r="AL665" s="29"/>
      <c r="AM665" s="29"/>
      <c r="AO665" s="27">
        <v>167.27099999999999</v>
      </c>
      <c r="AP665" s="29"/>
    </row>
    <row r="666" spans="1:43" s="27" customFormat="1" ht="20.25" customHeight="1" x14ac:dyDescent="0.45">
      <c r="A666" s="26"/>
      <c r="B666" s="28"/>
      <c r="L666" s="27">
        <v>184</v>
      </c>
      <c r="O666" s="29"/>
      <c r="P666" s="29"/>
      <c r="R666" s="29"/>
      <c r="S666" s="27">
        <v>6.7240000000000002</v>
      </c>
      <c r="T666" s="27">
        <f>S667/S666</f>
        <v>0.64544913741820342</v>
      </c>
      <c r="Y666" s="27">
        <v>70</v>
      </c>
      <c r="AB666" s="29"/>
      <c r="AC666" s="29"/>
      <c r="AE666" s="29"/>
      <c r="AF666" s="27">
        <v>7.258</v>
      </c>
      <c r="AG666" s="27">
        <f>AF667/AF666</f>
        <v>0.63033893634610083</v>
      </c>
      <c r="AI666" s="27">
        <v>70</v>
      </c>
      <c r="AJ666" s="29"/>
      <c r="AK666" s="27">
        <v>8.7829999999999995</v>
      </c>
      <c r="AL666" s="27">
        <f>AK667/AK666</f>
        <v>0.43618353637709212</v>
      </c>
      <c r="AM666" s="29"/>
    </row>
    <row r="667" spans="1:43" s="27" customFormat="1" ht="20.25" customHeight="1" x14ac:dyDescent="0.45">
      <c r="A667" s="26"/>
      <c r="B667" s="28"/>
      <c r="L667" s="27">
        <v>185</v>
      </c>
      <c r="O667" s="29"/>
      <c r="P667" s="29"/>
      <c r="R667" s="29"/>
      <c r="S667" s="27">
        <v>4.34</v>
      </c>
      <c r="Y667" s="27">
        <v>71</v>
      </c>
      <c r="AB667" s="29"/>
      <c r="AC667" s="29"/>
      <c r="AE667" s="29"/>
      <c r="AF667" s="27">
        <v>4.5750000000000002</v>
      </c>
      <c r="AI667" s="27">
        <v>71</v>
      </c>
      <c r="AJ667" s="29"/>
      <c r="AK667" s="27">
        <v>3.831</v>
      </c>
      <c r="AL667" s="29"/>
      <c r="AM667" s="29"/>
    </row>
    <row r="668" spans="1:43" s="27" customFormat="1" ht="20.25" customHeight="1" x14ac:dyDescent="0.45">
      <c r="A668" s="26"/>
      <c r="B668" s="28"/>
      <c r="L668" s="27">
        <v>186</v>
      </c>
      <c r="O668" s="29"/>
      <c r="P668" s="29"/>
      <c r="R668" s="27">
        <v>176.66800000000001</v>
      </c>
      <c r="S668" s="29"/>
      <c r="Y668" s="27">
        <v>72</v>
      </c>
      <c r="AB668" s="29"/>
      <c r="AC668" s="29"/>
      <c r="AE668" s="27">
        <v>105.99</v>
      </c>
      <c r="AF668" s="29"/>
      <c r="AI668" s="27">
        <v>72</v>
      </c>
      <c r="AJ668" s="27">
        <v>88.155000000000001</v>
      </c>
      <c r="AK668" s="29"/>
      <c r="AL668" s="29"/>
      <c r="AM668" s="29"/>
    </row>
    <row r="669" spans="1:43" s="27" customFormat="1" ht="20.25" customHeight="1" x14ac:dyDescent="0.45">
      <c r="A669" s="26"/>
      <c r="B669" s="28"/>
      <c r="L669" s="27">
        <v>187</v>
      </c>
      <c r="M669" s="29"/>
      <c r="N669" s="27">
        <v>8.7460000000000004</v>
      </c>
      <c r="O669" s="27">
        <f>N670/N669</f>
        <v>0.50823233478161445</v>
      </c>
      <c r="P669" s="29"/>
      <c r="Y669" s="27">
        <v>73</v>
      </c>
      <c r="AB669" s="29"/>
      <c r="AC669" s="29"/>
      <c r="AE669" s="29"/>
      <c r="AF669" s="27">
        <v>6.952</v>
      </c>
      <c r="AG669" s="27">
        <f>AF670/AF669</f>
        <v>0.61680092059838898</v>
      </c>
      <c r="AI669" s="27">
        <v>73</v>
      </c>
      <c r="AJ669" s="29"/>
      <c r="AK669" s="27">
        <v>7.125</v>
      </c>
      <c r="AL669" s="27">
        <f>AK670/AK669</f>
        <v>0.51592982456140357</v>
      </c>
      <c r="AM669" s="29"/>
    </row>
    <row r="670" spans="1:43" s="27" customFormat="1" ht="20.25" customHeight="1" x14ac:dyDescent="0.45">
      <c r="A670" s="26"/>
      <c r="B670" s="28"/>
      <c r="L670" s="27">
        <v>188</v>
      </c>
      <c r="M670" s="29"/>
      <c r="N670" s="27">
        <v>4.4450000000000003</v>
      </c>
      <c r="O670" s="29"/>
      <c r="P670" s="29"/>
      <c r="Y670" s="27">
        <v>74</v>
      </c>
      <c r="AB670" s="29"/>
      <c r="AC670" s="29"/>
      <c r="AE670" s="29"/>
      <c r="AF670" s="27">
        <v>4.2880000000000003</v>
      </c>
      <c r="AI670" s="27">
        <v>74</v>
      </c>
      <c r="AJ670" s="29"/>
      <c r="AK670" s="27">
        <v>3.6760000000000002</v>
      </c>
      <c r="AL670" s="29"/>
      <c r="AM670" s="29"/>
    </row>
    <row r="671" spans="1:43" s="27" customFormat="1" ht="20.25" customHeight="1" x14ac:dyDescent="0.45">
      <c r="A671" s="26"/>
      <c r="B671" s="28"/>
      <c r="L671" s="27">
        <v>189</v>
      </c>
      <c r="M671" s="27">
        <v>46.350999999999999</v>
      </c>
      <c r="N671" s="29"/>
      <c r="O671" s="29"/>
      <c r="P671" s="29"/>
      <c r="Y671" s="27">
        <v>75</v>
      </c>
      <c r="AB671" s="29"/>
      <c r="AC671" s="29"/>
      <c r="AE671" s="27">
        <v>95.683999999999997</v>
      </c>
      <c r="AF671" s="29"/>
      <c r="AI671" s="27">
        <v>75</v>
      </c>
      <c r="AJ671" s="27">
        <v>49.634999999999998</v>
      </c>
      <c r="AK671" s="29"/>
      <c r="AL671" s="29"/>
      <c r="AM671" s="29"/>
    </row>
    <row r="672" spans="1:43" s="27" customFormat="1" ht="20.25" customHeight="1" x14ac:dyDescent="0.45">
      <c r="A672" s="26"/>
      <c r="B672" s="28"/>
      <c r="L672" s="27">
        <v>190</v>
      </c>
      <c r="O672" s="29"/>
      <c r="P672" s="29"/>
      <c r="R672" s="29"/>
      <c r="S672" s="27">
        <v>10.845000000000001</v>
      </c>
      <c r="T672" s="27">
        <f>S673/S672</f>
        <v>0.33905025357307511</v>
      </c>
      <c r="Y672" s="27">
        <v>76</v>
      </c>
      <c r="AB672" s="29"/>
      <c r="AC672" s="29"/>
      <c r="AE672" s="29"/>
      <c r="AF672" s="27">
        <v>8.3870000000000005</v>
      </c>
      <c r="AG672" s="27">
        <f>AF673/AF672</f>
        <v>0.96351496363419564</v>
      </c>
      <c r="AI672" s="27">
        <v>76</v>
      </c>
      <c r="AJ672" s="29"/>
      <c r="AK672" s="27">
        <v>10.391</v>
      </c>
      <c r="AL672" s="27">
        <f>AK673/AK672</f>
        <v>0.41786161100952746</v>
      </c>
      <c r="AM672" s="29"/>
    </row>
    <row r="673" spans="1:43" s="27" customFormat="1" ht="20.25" customHeight="1" x14ac:dyDescent="0.45">
      <c r="A673" s="26"/>
      <c r="B673" s="28"/>
      <c r="L673" s="27">
        <v>191</v>
      </c>
      <c r="O673" s="29"/>
      <c r="P673" s="29"/>
      <c r="R673" s="29"/>
      <c r="S673" s="27">
        <v>3.677</v>
      </c>
      <c r="Y673" s="27">
        <v>77</v>
      </c>
      <c r="AB673" s="29"/>
      <c r="AC673" s="29"/>
      <c r="AE673" s="29"/>
      <c r="AF673" s="27">
        <v>8.0809999999999995</v>
      </c>
      <c r="AI673" s="27">
        <v>77</v>
      </c>
      <c r="AJ673" s="29"/>
      <c r="AK673" s="27">
        <v>4.3419999999999996</v>
      </c>
      <c r="AL673" s="29"/>
      <c r="AM673" s="29"/>
    </row>
    <row r="674" spans="1:43" s="27" customFormat="1" ht="20.25" customHeight="1" x14ac:dyDescent="0.45">
      <c r="A674" s="26"/>
      <c r="B674" s="28"/>
      <c r="L674" s="27">
        <v>192</v>
      </c>
      <c r="O674" s="29"/>
      <c r="P674" s="29"/>
      <c r="R674" s="27">
        <v>157.96100000000001</v>
      </c>
      <c r="S674" s="29"/>
      <c r="Y674" s="27">
        <v>78</v>
      </c>
      <c r="AB674" s="29"/>
      <c r="AC674" s="29"/>
      <c r="AE674" s="27">
        <v>162.583</v>
      </c>
      <c r="AF674" s="29"/>
      <c r="AI674" s="27">
        <v>78</v>
      </c>
      <c r="AJ674" s="27">
        <v>74.617999999999995</v>
      </c>
      <c r="AK674" s="29"/>
      <c r="AL674" s="29"/>
      <c r="AM674" s="29"/>
    </row>
    <row r="675" spans="1:43" s="27" customFormat="1" ht="20.25" customHeight="1" x14ac:dyDescent="0.45">
      <c r="A675" s="26"/>
      <c r="B675" s="28"/>
      <c r="L675" s="27">
        <v>193</v>
      </c>
      <c r="M675" s="29"/>
      <c r="N675" s="27">
        <v>15.141999999999999</v>
      </c>
      <c r="O675" s="27">
        <f>N676/N675</f>
        <v>0.41328754457799499</v>
      </c>
      <c r="P675" s="29"/>
      <c r="Y675" s="27">
        <v>79</v>
      </c>
      <c r="AB675" s="29"/>
      <c r="AC675" s="29"/>
      <c r="AE675" s="29"/>
      <c r="AF675" s="27">
        <v>9.7260000000000009</v>
      </c>
      <c r="AG675" s="27">
        <f>AF676/AF675</f>
        <v>0.55963397079991761</v>
      </c>
      <c r="AI675" s="27">
        <v>79</v>
      </c>
      <c r="AL675" s="29"/>
      <c r="AM675" s="29"/>
      <c r="AO675" s="29"/>
      <c r="AP675" s="27">
        <v>9.1219999999999999</v>
      </c>
      <c r="AQ675" s="27">
        <f>AP676/AP675</f>
        <v>0.57180442885332172</v>
      </c>
    </row>
    <row r="676" spans="1:43" s="27" customFormat="1" ht="20.25" customHeight="1" x14ac:dyDescent="0.45">
      <c r="A676" s="26"/>
      <c r="B676" s="28"/>
      <c r="L676" s="27">
        <v>194</v>
      </c>
      <c r="M676" s="29"/>
      <c r="N676" s="27">
        <v>6.258</v>
      </c>
      <c r="O676" s="29"/>
      <c r="P676" s="29"/>
      <c r="Y676" s="27">
        <v>80</v>
      </c>
      <c r="AB676" s="29"/>
      <c r="AC676" s="29"/>
      <c r="AE676" s="29"/>
      <c r="AF676" s="27">
        <v>5.4429999999999996</v>
      </c>
      <c r="AI676" s="27">
        <v>80</v>
      </c>
      <c r="AL676" s="29"/>
      <c r="AM676" s="29"/>
      <c r="AO676" s="29"/>
      <c r="AP676" s="27">
        <v>5.2160000000000002</v>
      </c>
    </row>
    <row r="677" spans="1:43" s="27" customFormat="1" ht="20.25" customHeight="1" x14ac:dyDescent="0.45">
      <c r="A677" s="26"/>
      <c r="B677" s="28"/>
      <c r="L677" s="27">
        <v>195</v>
      </c>
      <c r="M677" s="27">
        <v>73.343999999999994</v>
      </c>
      <c r="N677" s="29"/>
      <c r="O677" s="29"/>
      <c r="P677" s="29"/>
      <c r="Y677" s="27">
        <v>81</v>
      </c>
      <c r="AB677" s="29"/>
      <c r="AC677" s="29"/>
      <c r="AE677" s="27">
        <v>157.68899999999999</v>
      </c>
      <c r="AF677" s="29"/>
      <c r="AI677" s="27">
        <v>81</v>
      </c>
      <c r="AL677" s="29"/>
      <c r="AM677" s="29"/>
      <c r="AO677" s="27">
        <v>147.78299999999999</v>
      </c>
      <c r="AP677" s="29"/>
    </row>
    <row r="678" spans="1:43" s="27" customFormat="1" ht="20.25" customHeight="1" x14ac:dyDescent="0.45">
      <c r="A678" s="26"/>
      <c r="B678" s="28"/>
      <c r="M678" s="27">
        <f>M677+M671+M665+M662+M659+M650+M644+M638+M632+M629+M626+M623+M614+M611+M605+M596+M593+M590+M584+M581+M587+M578+M575+M566+M560+M554+M542+M527+M512+M500+M488+M485</f>
        <v>2066.3519999999999</v>
      </c>
      <c r="O678" s="27">
        <f>O675+O669+O663+O660+O657+O648+O642+O636+O630+O627+O624+O621+O612+O609+O603+O594+O591+O588+O585+O582+O579+O576+O573+O564+O558+O552+O540+O525+O510+O498+O486+O483</f>
        <v>16.223144245324171</v>
      </c>
      <c r="R678" s="27">
        <f>R674+R668+R656+R653+R647+R642+R636+R621+R618+R608+R602+R599+R572+R569+R563+R557+R551+R548+R545+R539+R536+R533+R530+R524+R521+R518+R515+R509+R506+R503+R498+R495+R492-(90*33)</f>
        <v>1862.0110000000013</v>
      </c>
      <c r="T678" s="27">
        <f>T672+T666+T654+T651+T645+T640+T634+T619+T616+T606+T600+T597+T561+T555+T549+T543+T546+T570+T567+T537+T534+T531+T528+T522+T519+T516+T513+T507+T504+T501+T496+T493+T490</f>
        <v>16.174264268761121</v>
      </c>
      <c r="Y678" s="27">
        <v>82</v>
      </c>
      <c r="AB678" s="29"/>
      <c r="AC678" s="29"/>
      <c r="AE678" s="29"/>
      <c r="AF678" s="27">
        <v>7.0970000000000004</v>
      </c>
      <c r="AG678" s="27">
        <f>AF679/AF678</f>
        <v>0.71185007749753404</v>
      </c>
      <c r="AI678" s="27">
        <v>82</v>
      </c>
      <c r="AL678" s="29"/>
      <c r="AM678" s="29"/>
      <c r="AO678" s="29"/>
      <c r="AP678" s="27">
        <v>7.9039999999999999</v>
      </c>
      <c r="AQ678" s="27">
        <f>AP679/AP678</f>
        <v>0.55098684210526316</v>
      </c>
    </row>
    <row r="679" spans="1:43" s="27" customFormat="1" ht="20.25" customHeight="1" x14ac:dyDescent="0.45">
      <c r="A679" s="26"/>
      <c r="B679" s="28"/>
      <c r="M679" s="27">
        <f>M678/32</f>
        <v>64.573499999999996</v>
      </c>
      <c r="O679" s="27">
        <f>O678/32</f>
        <v>0.50697325766638035</v>
      </c>
      <c r="R679" s="27">
        <f>R678/33</f>
        <v>56.424575757575795</v>
      </c>
      <c r="T679" s="27">
        <f>T678/33</f>
        <v>0.4901292202654885</v>
      </c>
      <c r="Y679" s="27">
        <v>83</v>
      </c>
      <c r="AB679" s="29"/>
      <c r="AC679" s="29"/>
      <c r="AE679" s="29"/>
      <c r="AF679" s="27">
        <v>5.0519999999999996</v>
      </c>
      <c r="AI679" s="27">
        <v>83</v>
      </c>
      <c r="AL679" s="29"/>
      <c r="AM679" s="29"/>
      <c r="AO679" s="29"/>
      <c r="AP679" s="27">
        <v>4.3550000000000004</v>
      </c>
    </row>
    <row r="680" spans="1:43" s="27" customFormat="1" ht="20.25" customHeight="1" x14ac:dyDescent="0.45">
      <c r="A680" s="26"/>
      <c r="B680" s="28"/>
      <c r="Y680" s="27">
        <v>84</v>
      </c>
      <c r="AB680" s="29"/>
      <c r="AC680" s="29"/>
      <c r="AE680" s="27">
        <v>161.203</v>
      </c>
      <c r="AF680" s="29"/>
      <c r="AI680" s="27">
        <v>84</v>
      </c>
      <c r="AL680" s="29"/>
      <c r="AM680" s="29"/>
      <c r="AO680" s="27">
        <v>169.79</v>
      </c>
      <c r="AP680" s="29"/>
    </row>
    <row r="681" spans="1:43" s="27" customFormat="1" ht="20.25" customHeight="1" x14ac:dyDescent="0.45">
      <c r="A681" s="26"/>
      <c r="B681" s="25" t="s">
        <v>86</v>
      </c>
      <c r="C681" s="27" t="s">
        <v>69</v>
      </c>
      <c r="H681" s="27" t="s">
        <v>78</v>
      </c>
      <c r="L681" s="25" t="s">
        <v>86</v>
      </c>
      <c r="M681" s="27" t="s">
        <v>69</v>
      </c>
      <c r="Y681" s="27">
        <v>85</v>
      </c>
      <c r="AB681" s="29"/>
      <c r="AC681" s="29"/>
      <c r="AE681" s="29"/>
      <c r="AF681" s="27">
        <v>5.1980000000000004</v>
      </c>
      <c r="AG681" s="27">
        <f>AF682/AF681</f>
        <v>0.73085802231627539</v>
      </c>
      <c r="AI681" s="27">
        <v>85</v>
      </c>
      <c r="AL681" s="29"/>
      <c r="AM681" s="29"/>
      <c r="AO681" s="29"/>
      <c r="AP681" s="27">
        <v>8.8879999999999999</v>
      </c>
      <c r="AQ681" s="27">
        <f>AP682/AP681</f>
        <v>0.46230873087308733</v>
      </c>
    </row>
    <row r="682" spans="1:43" s="27" customFormat="1" ht="20.25" customHeight="1" x14ac:dyDescent="0.45">
      <c r="A682" s="26"/>
      <c r="B682" s="28">
        <v>1</v>
      </c>
      <c r="D682" s="27">
        <v>11.871</v>
      </c>
      <c r="E682" s="27">
        <f>D683/D682</f>
        <v>0.4494987785359279</v>
      </c>
      <c r="F682" s="29"/>
      <c r="L682" s="27">
        <v>1</v>
      </c>
      <c r="M682" s="29"/>
      <c r="N682" s="27">
        <v>7.5060000000000002</v>
      </c>
      <c r="O682" s="27">
        <f>N683/N682</f>
        <v>0.54742872368771645</v>
      </c>
      <c r="P682" s="29"/>
      <c r="Y682" s="27">
        <v>86</v>
      </c>
      <c r="AB682" s="29"/>
      <c r="AC682" s="29"/>
      <c r="AE682" s="29"/>
      <c r="AF682" s="27">
        <v>3.7989999999999999</v>
      </c>
      <c r="AI682" s="27">
        <v>86</v>
      </c>
      <c r="AL682" s="29"/>
      <c r="AM682" s="29"/>
      <c r="AO682" s="29"/>
      <c r="AP682" s="27">
        <v>4.109</v>
      </c>
    </row>
    <row r="683" spans="1:43" s="27" customFormat="1" ht="20.25" customHeight="1" x14ac:dyDescent="0.45">
      <c r="A683" s="26"/>
      <c r="B683" s="28">
        <v>2</v>
      </c>
      <c r="C683" s="29"/>
      <c r="D683" s="27">
        <v>5.3360000000000003</v>
      </c>
      <c r="E683" s="29"/>
      <c r="F683" s="29"/>
      <c r="L683" s="27">
        <v>2</v>
      </c>
      <c r="M683" s="29"/>
      <c r="N683" s="27">
        <v>4.109</v>
      </c>
      <c r="O683" s="29"/>
      <c r="P683" s="29"/>
      <c r="Y683" s="27">
        <v>87</v>
      </c>
      <c r="AB683" s="29"/>
      <c r="AC683" s="29"/>
      <c r="AE683" s="27">
        <v>159.18700000000001</v>
      </c>
      <c r="AF683" s="29"/>
      <c r="AI683" s="27">
        <v>87</v>
      </c>
      <c r="AL683" s="29"/>
      <c r="AM683" s="29"/>
      <c r="AO683" s="27">
        <v>179.75800000000001</v>
      </c>
      <c r="AP683" s="29"/>
    </row>
    <row r="684" spans="1:43" s="27" customFormat="1" ht="20.25" customHeight="1" x14ac:dyDescent="0.45">
      <c r="A684" s="26"/>
      <c r="B684" s="28">
        <v>3</v>
      </c>
      <c r="C684" s="27">
        <v>22.643000000000001</v>
      </c>
      <c r="D684" s="29"/>
      <c r="E684" s="29"/>
      <c r="F684" s="29"/>
      <c r="L684" s="27">
        <v>3</v>
      </c>
      <c r="M684" s="27">
        <v>46.732999999999997</v>
      </c>
      <c r="N684" s="29"/>
      <c r="O684" s="29"/>
      <c r="P684" s="29"/>
      <c r="Y684" s="27">
        <v>88</v>
      </c>
      <c r="AB684" s="29"/>
      <c r="AC684" s="29"/>
      <c r="AE684" s="29"/>
      <c r="AF684" s="27">
        <v>6.7329999999999997</v>
      </c>
      <c r="AG684" s="27">
        <f>AF685/AF684</f>
        <v>0.85830981731768907</v>
      </c>
      <c r="AI684" s="27">
        <v>88</v>
      </c>
      <c r="AJ684" s="29"/>
      <c r="AK684" s="27">
        <v>11.446</v>
      </c>
      <c r="AL684" s="27">
        <f>AK685/AK684</f>
        <v>0.4152542372881356</v>
      </c>
      <c r="AM684" s="29"/>
    </row>
    <row r="685" spans="1:43" s="27" customFormat="1" ht="20.25" customHeight="1" x14ac:dyDescent="0.45">
      <c r="A685" s="26"/>
      <c r="B685" s="28">
        <v>4</v>
      </c>
      <c r="E685" s="29"/>
      <c r="F685" s="29"/>
      <c r="H685" s="29"/>
      <c r="I685" s="27">
        <v>7.7119999999999997</v>
      </c>
      <c r="J685" s="27">
        <f>I686/I685</f>
        <v>0.56301867219917012</v>
      </c>
      <c r="L685" s="27">
        <v>4</v>
      </c>
      <c r="M685" s="29"/>
      <c r="N685" s="27">
        <v>9.2379999999999995</v>
      </c>
      <c r="O685" s="27">
        <f>N686/N685</f>
        <v>0.76845637583892623</v>
      </c>
      <c r="P685" s="29"/>
      <c r="Y685" s="27">
        <v>89</v>
      </c>
      <c r="AB685" s="29"/>
      <c r="AC685" s="29"/>
      <c r="AE685" s="29"/>
      <c r="AF685" s="27">
        <v>5.7789999999999999</v>
      </c>
      <c r="AI685" s="27">
        <v>89</v>
      </c>
      <c r="AJ685" s="29"/>
      <c r="AK685" s="27">
        <v>4.7530000000000001</v>
      </c>
      <c r="AL685" s="29"/>
      <c r="AM685" s="29"/>
    </row>
    <row r="686" spans="1:43" s="27" customFormat="1" ht="20.25" customHeight="1" x14ac:dyDescent="0.45">
      <c r="A686" s="26"/>
      <c r="B686" s="28">
        <v>5</v>
      </c>
      <c r="E686" s="29"/>
      <c r="F686" s="29"/>
      <c r="H686" s="29"/>
      <c r="I686" s="27">
        <v>4.3419999999999996</v>
      </c>
      <c r="L686" s="27">
        <v>5</v>
      </c>
      <c r="M686" s="29"/>
      <c r="N686" s="27">
        <v>7.0990000000000002</v>
      </c>
      <c r="O686" s="29"/>
      <c r="P686" s="29"/>
      <c r="Y686" s="27">
        <v>90</v>
      </c>
      <c r="AB686" s="29"/>
      <c r="AC686" s="29"/>
      <c r="AE686" s="27">
        <v>165.203</v>
      </c>
      <c r="AF686" s="29"/>
      <c r="AI686" s="27">
        <v>90</v>
      </c>
      <c r="AJ686" s="27">
        <v>38.369</v>
      </c>
      <c r="AK686" s="29"/>
      <c r="AL686" s="29"/>
      <c r="AM686" s="29"/>
    </row>
    <row r="687" spans="1:43" s="27" customFormat="1" ht="20.25" customHeight="1" x14ac:dyDescent="0.45">
      <c r="A687" s="26"/>
      <c r="B687" s="28">
        <v>6</v>
      </c>
      <c r="E687" s="29"/>
      <c r="F687" s="29"/>
      <c r="H687" s="27">
        <v>130.59299999999999</v>
      </c>
      <c r="I687" s="29"/>
      <c r="L687" s="27">
        <v>6</v>
      </c>
      <c r="M687" s="27">
        <v>62.484000000000002</v>
      </c>
      <c r="N687" s="29"/>
      <c r="O687" s="29"/>
      <c r="P687" s="29"/>
      <c r="Y687" s="27">
        <v>91</v>
      </c>
      <c r="AB687" s="29"/>
      <c r="AC687" s="29"/>
      <c r="AE687" s="29"/>
      <c r="AF687" s="27">
        <v>10.757</v>
      </c>
      <c r="AG687" s="27">
        <f>AF688/AF687</f>
        <v>0.60565213349446867</v>
      </c>
      <c r="AI687" s="27">
        <v>91</v>
      </c>
      <c r="AJ687" s="29"/>
      <c r="AK687" s="27">
        <v>8.3919999999999995</v>
      </c>
      <c r="AL687" s="27">
        <f>AK688/AK687</f>
        <v>0.58293612964728325</v>
      </c>
      <c r="AM687" s="29"/>
    </row>
    <row r="688" spans="1:43" s="27" customFormat="1" ht="20.25" customHeight="1" x14ac:dyDescent="0.45">
      <c r="A688" s="26"/>
      <c r="B688" s="28">
        <v>7</v>
      </c>
      <c r="E688" s="29"/>
      <c r="F688" s="29"/>
      <c r="H688" s="29"/>
      <c r="I688" s="27">
        <v>8.4169999999999998</v>
      </c>
      <c r="J688" s="27">
        <f>I689/I688</f>
        <v>0.51562314363787576</v>
      </c>
      <c r="L688" s="27">
        <v>7</v>
      </c>
      <c r="M688" s="29"/>
      <c r="N688" s="27">
        <v>7.2450000000000001</v>
      </c>
      <c r="O688" s="27">
        <f>N689/N688</f>
        <v>0.4324361628709455</v>
      </c>
      <c r="P688" s="29"/>
      <c r="Y688" s="27">
        <v>92</v>
      </c>
      <c r="AB688" s="29"/>
      <c r="AC688" s="29"/>
      <c r="AE688" s="29"/>
      <c r="AF688" s="27">
        <v>6.5149999999999997</v>
      </c>
      <c r="AI688" s="27">
        <v>92</v>
      </c>
      <c r="AJ688" s="29"/>
      <c r="AK688" s="27">
        <v>4.8920000000000003</v>
      </c>
      <c r="AL688" s="29"/>
      <c r="AM688" s="29"/>
    </row>
    <row r="689" spans="1:43" s="27" customFormat="1" ht="20.25" customHeight="1" x14ac:dyDescent="0.45">
      <c r="A689" s="26"/>
      <c r="B689" s="28">
        <v>8</v>
      </c>
      <c r="E689" s="29"/>
      <c r="F689" s="29"/>
      <c r="H689" s="29"/>
      <c r="I689" s="27">
        <v>4.34</v>
      </c>
      <c r="L689" s="27">
        <v>8</v>
      </c>
      <c r="M689" s="29"/>
      <c r="N689" s="27">
        <v>3.133</v>
      </c>
      <c r="O689" s="29"/>
      <c r="P689" s="29"/>
      <c r="Y689" s="27">
        <v>93</v>
      </c>
      <c r="AB689" s="29"/>
      <c r="AC689" s="29"/>
      <c r="AE689" s="27">
        <v>174.99199999999999</v>
      </c>
      <c r="AF689" s="29"/>
      <c r="AI689" s="27">
        <v>93</v>
      </c>
      <c r="AJ689" s="27">
        <v>53.808999999999997</v>
      </c>
      <c r="AK689" s="29"/>
      <c r="AL689" s="29"/>
      <c r="AM689" s="29"/>
    </row>
    <row r="690" spans="1:43" s="27" customFormat="1" ht="20.25" customHeight="1" x14ac:dyDescent="0.45">
      <c r="A690" s="26"/>
      <c r="B690" s="28">
        <v>9</v>
      </c>
      <c r="E690" s="29"/>
      <c r="F690" s="29"/>
      <c r="H690" s="27">
        <v>118.485</v>
      </c>
      <c r="I690" s="29"/>
      <c r="L690" s="27">
        <v>9</v>
      </c>
      <c r="M690" s="27">
        <v>12.016</v>
      </c>
      <c r="N690" s="29"/>
      <c r="O690" s="29"/>
      <c r="P690" s="29"/>
      <c r="Y690" s="27">
        <v>94</v>
      </c>
      <c r="Z690" s="29"/>
      <c r="AA690" s="27">
        <v>6.4969999999999999</v>
      </c>
      <c r="AB690" s="27">
        <f>AA691/AA690</f>
        <v>0.69601354471294452</v>
      </c>
      <c r="AC690" s="29"/>
      <c r="AI690" s="27">
        <v>94</v>
      </c>
      <c r="AL690" s="29"/>
      <c r="AM690" s="29"/>
      <c r="AO690" s="29"/>
      <c r="AP690" s="27">
        <v>7.3550000000000004</v>
      </c>
      <c r="AQ690" s="27">
        <f>AP691/AP690</f>
        <v>0.76002719238613181</v>
      </c>
    </row>
    <row r="691" spans="1:43" s="27" customFormat="1" ht="20.25" customHeight="1" x14ac:dyDescent="0.45">
      <c r="A691" s="26"/>
      <c r="B691" s="28">
        <v>10</v>
      </c>
      <c r="E691" s="29"/>
      <c r="F691" s="29"/>
      <c r="H691" s="29"/>
      <c r="I691" s="27">
        <v>5.7430000000000003</v>
      </c>
      <c r="J691" s="27">
        <f>I692/I691</f>
        <v>0.7057287132160891</v>
      </c>
      <c r="L691" s="27">
        <v>10</v>
      </c>
      <c r="M691" s="29"/>
      <c r="N691" s="27">
        <v>7.47</v>
      </c>
      <c r="O691" s="27">
        <f>N692/N691</f>
        <v>0.53239625167336013</v>
      </c>
      <c r="P691" s="29"/>
      <c r="Y691" s="27">
        <v>95</v>
      </c>
      <c r="Z691" s="29"/>
      <c r="AA691" s="27">
        <v>4.5220000000000002</v>
      </c>
      <c r="AB691" s="29"/>
      <c r="AC691" s="29"/>
      <c r="AI691" s="27">
        <v>95</v>
      </c>
      <c r="AL691" s="29"/>
      <c r="AM691" s="29"/>
      <c r="AO691" s="29"/>
      <c r="AP691" s="27">
        <v>5.59</v>
      </c>
    </row>
    <row r="692" spans="1:43" s="27" customFormat="1" ht="20.25" customHeight="1" x14ac:dyDescent="0.45">
      <c r="A692" s="26"/>
      <c r="B692" s="28">
        <v>11</v>
      </c>
      <c r="E692" s="29"/>
      <c r="F692" s="29"/>
      <c r="H692" s="29"/>
      <c r="I692" s="27">
        <v>4.0529999999999999</v>
      </c>
      <c r="L692" s="27">
        <v>11</v>
      </c>
      <c r="M692" s="29"/>
      <c r="N692" s="27">
        <v>3.9769999999999999</v>
      </c>
      <c r="O692" s="29"/>
      <c r="P692" s="29"/>
      <c r="Y692" s="27">
        <v>96</v>
      </c>
      <c r="Z692" s="27">
        <v>49.633000000000003</v>
      </c>
      <c r="AA692" s="29"/>
      <c r="AB692" s="29"/>
      <c r="AC692" s="29"/>
      <c r="AI692" s="27">
        <v>96</v>
      </c>
      <c r="AL692" s="29"/>
      <c r="AM692" s="29"/>
      <c r="AO692" s="27">
        <v>175.245</v>
      </c>
      <c r="AP692" s="29"/>
    </row>
    <row r="693" spans="1:43" s="27" customFormat="1" ht="20.25" customHeight="1" x14ac:dyDescent="0.45">
      <c r="A693" s="26"/>
      <c r="B693" s="28">
        <v>12</v>
      </c>
      <c r="E693" s="29"/>
      <c r="F693" s="29"/>
      <c r="H693" s="27">
        <v>119.038</v>
      </c>
      <c r="I693" s="29"/>
      <c r="L693" s="27">
        <v>12</v>
      </c>
      <c r="M693" s="27">
        <v>17.350000000000001</v>
      </c>
      <c r="N693" s="29"/>
      <c r="O693" s="29"/>
      <c r="P693" s="29"/>
      <c r="Y693" s="27">
        <v>97</v>
      </c>
      <c r="AB693" s="29"/>
      <c r="AC693" s="29"/>
      <c r="AE693" s="29"/>
      <c r="AF693" s="27">
        <v>7.6970000000000001</v>
      </c>
      <c r="AG693" s="27">
        <f>AF694/AF693</f>
        <v>0.69117838118747565</v>
      </c>
      <c r="AI693" s="27">
        <v>97</v>
      </c>
      <c r="AJ693" s="29"/>
      <c r="AK693" s="27">
        <v>9.9329999999999998</v>
      </c>
      <c r="AL693" s="27">
        <f>AK694/AK693</f>
        <v>0.92258129467431793</v>
      </c>
      <c r="AM693" s="29"/>
    </row>
    <row r="694" spans="1:43" s="27" customFormat="1" ht="20.25" customHeight="1" x14ac:dyDescent="0.45">
      <c r="A694" s="26"/>
      <c r="B694" s="28">
        <v>13</v>
      </c>
      <c r="C694" s="29"/>
      <c r="D694" s="27">
        <v>5.0999999999999996</v>
      </c>
      <c r="E694" s="27">
        <f>D695/D694</f>
        <v>0.76686274509803931</v>
      </c>
      <c r="F694" s="29"/>
      <c r="L694" s="27">
        <v>13</v>
      </c>
      <c r="M694" s="29"/>
      <c r="N694" s="27">
        <v>7.7130000000000001</v>
      </c>
      <c r="O694" s="27">
        <f>N695/N694</f>
        <v>0.46726306236224557</v>
      </c>
      <c r="P694" s="29"/>
      <c r="Y694" s="27">
        <v>98</v>
      </c>
      <c r="AB694" s="29"/>
      <c r="AC694" s="29"/>
      <c r="AE694" s="29"/>
      <c r="AF694" s="27">
        <v>5.32</v>
      </c>
      <c r="AI694" s="27">
        <v>98</v>
      </c>
      <c r="AJ694" s="29"/>
      <c r="AK694" s="27">
        <v>9.1639999999999997</v>
      </c>
      <c r="AL694" s="29"/>
      <c r="AM694" s="29"/>
    </row>
    <row r="695" spans="1:43" s="27" customFormat="1" ht="20.25" customHeight="1" x14ac:dyDescent="0.45">
      <c r="A695" s="26"/>
      <c r="B695" s="28">
        <v>14</v>
      </c>
      <c r="C695" s="29"/>
      <c r="D695" s="27">
        <v>3.911</v>
      </c>
      <c r="E695" s="29"/>
      <c r="F695" s="29"/>
      <c r="L695" s="27">
        <v>14</v>
      </c>
      <c r="M695" s="29"/>
      <c r="N695" s="27">
        <v>3.6040000000000001</v>
      </c>
      <c r="O695" s="29"/>
      <c r="P695" s="29"/>
      <c r="Y695" s="27">
        <v>99</v>
      </c>
      <c r="AB695" s="29"/>
      <c r="AC695" s="29"/>
      <c r="AE695" s="27">
        <v>154.59</v>
      </c>
      <c r="AF695" s="29"/>
      <c r="AI695" s="27">
        <v>99</v>
      </c>
      <c r="AJ695" s="27">
        <v>56.625</v>
      </c>
      <c r="AK695" s="29"/>
      <c r="AL695" s="29"/>
      <c r="AM695" s="29"/>
    </row>
    <row r="696" spans="1:43" s="27" customFormat="1" ht="20.25" customHeight="1" x14ac:dyDescent="0.45">
      <c r="A696" s="26"/>
      <c r="B696" s="28">
        <v>15</v>
      </c>
      <c r="C696" s="27">
        <v>28.634</v>
      </c>
      <c r="D696" s="29"/>
      <c r="E696" s="29"/>
      <c r="F696" s="29"/>
      <c r="L696" s="27">
        <v>15</v>
      </c>
      <c r="M696" s="27">
        <v>89.516999999999996</v>
      </c>
      <c r="N696" s="29"/>
      <c r="O696" s="29"/>
      <c r="P696" s="29"/>
      <c r="Y696" s="27">
        <v>100</v>
      </c>
      <c r="AB696" s="29"/>
      <c r="AC696" s="29"/>
      <c r="AE696" s="29"/>
      <c r="AF696" s="27">
        <v>5.9160000000000004</v>
      </c>
      <c r="AG696" s="27">
        <f>AF697/AF696</f>
        <v>0.63607167004732923</v>
      </c>
      <c r="AI696" s="27">
        <v>100</v>
      </c>
      <c r="AJ696" s="29"/>
      <c r="AK696" s="27">
        <v>10.586</v>
      </c>
      <c r="AL696" s="27">
        <f>AK697/AK696</f>
        <v>0.46655960702815036</v>
      </c>
      <c r="AM696" s="29"/>
    </row>
    <row r="697" spans="1:43" s="27" customFormat="1" ht="20.25" customHeight="1" x14ac:dyDescent="0.45">
      <c r="A697" s="26"/>
      <c r="B697" s="28">
        <v>16</v>
      </c>
      <c r="C697" s="29"/>
      <c r="D697" s="27">
        <v>5.798</v>
      </c>
      <c r="E697" s="27">
        <f>D698/D697</f>
        <v>0.98844429113487409</v>
      </c>
      <c r="F697" s="29"/>
      <c r="L697" s="27">
        <v>16</v>
      </c>
      <c r="M697" s="29"/>
      <c r="N697" s="27">
        <v>9.6120000000000001</v>
      </c>
      <c r="O697" s="27">
        <f>N698/N697</f>
        <v>0.38930503537245109</v>
      </c>
      <c r="P697" s="29"/>
      <c r="Y697" s="27">
        <v>101</v>
      </c>
      <c r="AB697" s="29"/>
      <c r="AC697" s="29"/>
      <c r="AE697" s="29"/>
      <c r="AF697" s="27">
        <v>3.7629999999999999</v>
      </c>
      <c r="AI697" s="27">
        <v>101</v>
      </c>
      <c r="AJ697" s="29"/>
      <c r="AK697" s="27">
        <v>4.9390000000000001</v>
      </c>
      <c r="AL697" s="29"/>
      <c r="AM697" s="29"/>
    </row>
    <row r="698" spans="1:43" s="27" customFormat="1" ht="20.25" customHeight="1" x14ac:dyDescent="0.45">
      <c r="A698" s="26"/>
      <c r="B698" s="28">
        <v>17</v>
      </c>
      <c r="C698" s="29"/>
      <c r="D698" s="27">
        <v>5.7309999999999999</v>
      </c>
      <c r="E698" s="29"/>
      <c r="F698" s="29"/>
      <c r="L698" s="27">
        <v>17</v>
      </c>
      <c r="M698" s="29"/>
      <c r="N698" s="27">
        <v>3.742</v>
      </c>
      <c r="O698" s="29"/>
      <c r="P698" s="29"/>
      <c r="Y698" s="27">
        <v>102</v>
      </c>
      <c r="AB698" s="29"/>
      <c r="AC698" s="29"/>
      <c r="AE698" s="27">
        <v>101.004</v>
      </c>
      <c r="AF698" s="29"/>
      <c r="AI698" s="27">
        <v>102</v>
      </c>
      <c r="AJ698" s="27">
        <v>85.091999999999999</v>
      </c>
      <c r="AK698" s="29"/>
      <c r="AL698" s="29"/>
      <c r="AM698" s="29"/>
    </row>
    <row r="699" spans="1:43" s="27" customFormat="1" ht="20.25" customHeight="1" x14ac:dyDescent="0.45">
      <c r="A699" s="26"/>
      <c r="B699" s="28">
        <v>18</v>
      </c>
      <c r="C699" s="27">
        <v>77.519000000000005</v>
      </c>
      <c r="D699" s="29"/>
      <c r="E699" s="29"/>
      <c r="F699" s="29"/>
      <c r="L699" s="27">
        <v>18</v>
      </c>
      <c r="M699" s="27">
        <v>88.593000000000004</v>
      </c>
      <c r="N699" s="29"/>
      <c r="O699" s="29"/>
      <c r="P699" s="29"/>
      <c r="Y699" s="27">
        <v>103</v>
      </c>
      <c r="AB699" s="29"/>
      <c r="AC699" s="29"/>
      <c r="AE699" s="29"/>
      <c r="AF699" s="27">
        <v>9.77</v>
      </c>
      <c r="AG699" s="27">
        <f>AF700/AF699</f>
        <v>0.52425793244626406</v>
      </c>
      <c r="AI699" s="27">
        <v>103</v>
      </c>
      <c r="AJ699" s="29"/>
      <c r="AK699" s="27">
        <v>8.8620000000000001</v>
      </c>
      <c r="AL699" s="27">
        <f>AK700/AK699</f>
        <v>0.4256375535996389</v>
      </c>
      <c r="AM699" s="29"/>
    </row>
    <row r="700" spans="1:43" s="27" customFormat="1" ht="20.25" customHeight="1" x14ac:dyDescent="0.45">
      <c r="A700" s="26"/>
      <c r="B700" s="28">
        <v>19</v>
      </c>
      <c r="E700" s="29"/>
      <c r="F700" s="29"/>
      <c r="H700" s="29"/>
      <c r="I700" s="27">
        <v>8.5839999999999996</v>
      </c>
      <c r="J700" s="27">
        <f>I701/I700</f>
        <v>0.40027958993476237</v>
      </c>
      <c r="L700" s="27">
        <v>19</v>
      </c>
      <c r="M700" s="29"/>
      <c r="N700" s="27">
        <v>7.8419999999999996</v>
      </c>
      <c r="O700" s="27">
        <f>N701/N700</f>
        <v>0.4445294567712319</v>
      </c>
      <c r="P700" s="29"/>
      <c r="Y700" s="27">
        <v>104</v>
      </c>
      <c r="AB700" s="29"/>
      <c r="AC700" s="29"/>
      <c r="AE700" s="29"/>
      <c r="AF700" s="27">
        <v>5.1219999999999999</v>
      </c>
      <c r="AI700" s="27">
        <v>104</v>
      </c>
      <c r="AJ700" s="29"/>
      <c r="AK700" s="27">
        <v>3.7719999999999998</v>
      </c>
      <c r="AL700" s="29"/>
      <c r="AM700" s="29"/>
    </row>
    <row r="701" spans="1:43" s="27" customFormat="1" ht="20.25" customHeight="1" x14ac:dyDescent="0.45">
      <c r="A701" s="26"/>
      <c r="B701" s="28">
        <v>20</v>
      </c>
      <c r="E701" s="29"/>
      <c r="F701" s="29"/>
      <c r="H701" s="29"/>
      <c r="I701" s="27">
        <v>3.4359999999999999</v>
      </c>
      <c r="L701" s="27">
        <v>20</v>
      </c>
      <c r="M701" s="29"/>
      <c r="N701" s="27">
        <v>3.4860000000000002</v>
      </c>
      <c r="O701" s="29"/>
      <c r="P701" s="29"/>
      <c r="Y701" s="27">
        <v>105</v>
      </c>
      <c r="AB701" s="29"/>
      <c r="AC701" s="29"/>
      <c r="AE701" s="27">
        <v>119.212</v>
      </c>
      <c r="AF701" s="29"/>
      <c r="AI701" s="27">
        <v>105</v>
      </c>
      <c r="AJ701" s="27">
        <v>81.183000000000007</v>
      </c>
      <c r="AK701" s="29"/>
      <c r="AL701" s="29"/>
      <c r="AM701" s="29"/>
    </row>
    <row r="702" spans="1:43" s="27" customFormat="1" ht="20.25" customHeight="1" x14ac:dyDescent="0.45">
      <c r="A702" s="26"/>
      <c r="B702" s="28">
        <v>21</v>
      </c>
      <c r="E702" s="29"/>
      <c r="F702" s="29"/>
      <c r="H702" s="27">
        <v>114.22799999999999</v>
      </c>
      <c r="I702" s="29"/>
      <c r="L702" s="27">
        <v>21</v>
      </c>
      <c r="M702" s="27">
        <v>89.078999999999994</v>
      </c>
      <c r="N702" s="29"/>
      <c r="O702" s="29"/>
      <c r="P702" s="29"/>
      <c r="Y702" s="27">
        <v>106</v>
      </c>
      <c r="Z702" s="29"/>
      <c r="AA702" s="27">
        <v>10.449</v>
      </c>
      <c r="AB702" s="27">
        <f>AA703/AA702</f>
        <v>0.72227007369126228</v>
      </c>
      <c r="AC702" s="29"/>
      <c r="AI702" s="27">
        <v>106</v>
      </c>
      <c r="AJ702" s="29"/>
      <c r="AK702" s="27">
        <v>13.135999999999999</v>
      </c>
      <c r="AL702" s="27">
        <f>AK703/AK702</f>
        <v>0.32338611449451893</v>
      </c>
      <c r="AM702" s="29"/>
    </row>
    <row r="703" spans="1:43" s="27" customFormat="1" ht="20.25" customHeight="1" x14ac:dyDescent="0.45">
      <c r="A703" s="26"/>
      <c r="B703" s="28">
        <v>22</v>
      </c>
      <c r="C703" s="29"/>
      <c r="D703" s="27">
        <v>7.21</v>
      </c>
      <c r="E703" s="27">
        <f>D704/D703</f>
        <v>0.44119278779472954</v>
      </c>
      <c r="F703" s="29"/>
      <c r="L703" s="27">
        <v>22</v>
      </c>
      <c r="M703" s="29"/>
      <c r="N703" s="27">
        <v>9.52</v>
      </c>
      <c r="O703" s="27">
        <f>N704/N703</f>
        <v>0.42920168067226894</v>
      </c>
      <c r="P703" s="29"/>
      <c r="Y703" s="27">
        <v>107</v>
      </c>
      <c r="Z703" s="29"/>
      <c r="AA703" s="27">
        <v>7.5469999999999997</v>
      </c>
      <c r="AB703" s="29"/>
      <c r="AC703" s="29"/>
      <c r="AI703" s="27">
        <v>107</v>
      </c>
      <c r="AJ703" s="29"/>
      <c r="AK703" s="27">
        <v>4.2480000000000002</v>
      </c>
      <c r="AL703" s="29"/>
      <c r="AM703" s="29"/>
    </row>
    <row r="704" spans="1:43" s="27" customFormat="1" ht="20.25" customHeight="1" x14ac:dyDescent="0.45">
      <c r="A704" s="26"/>
      <c r="B704" s="28">
        <v>23</v>
      </c>
      <c r="C704" s="29"/>
      <c r="D704" s="27">
        <v>3.181</v>
      </c>
      <c r="E704" s="29"/>
      <c r="F704" s="29"/>
      <c r="L704" s="27">
        <v>23</v>
      </c>
      <c r="M704" s="29"/>
      <c r="N704" s="27">
        <v>4.0860000000000003</v>
      </c>
      <c r="O704" s="29"/>
      <c r="P704" s="29"/>
      <c r="Y704" s="27">
        <v>108</v>
      </c>
      <c r="Z704" s="27">
        <v>17.321999999999999</v>
      </c>
      <c r="AA704" s="29"/>
      <c r="AB704" s="29"/>
      <c r="AC704" s="29"/>
      <c r="AI704" s="27">
        <v>108</v>
      </c>
      <c r="AJ704" s="27">
        <v>73.808999999999997</v>
      </c>
      <c r="AK704" s="29"/>
      <c r="AL704" s="29"/>
      <c r="AM704" s="29"/>
    </row>
    <row r="705" spans="1:43" s="27" customFormat="1" ht="20.25" customHeight="1" x14ac:dyDescent="0.45">
      <c r="A705" s="26"/>
      <c r="B705" s="28">
        <v>24</v>
      </c>
      <c r="C705" s="27">
        <v>73.835999999999999</v>
      </c>
      <c r="D705" s="29"/>
      <c r="E705" s="29"/>
      <c r="F705" s="29"/>
      <c r="L705" s="27">
        <v>24</v>
      </c>
      <c r="M705" s="27">
        <v>85.623999999999995</v>
      </c>
      <c r="N705" s="29"/>
      <c r="O705" s="29"/>
      <c r="P705" s="29"/>
      <c r="Y705" s="27">
        <v>109</v>
      </c>
      <c r="AB705" s="29"/>
      <c r="AC705" s="29"/>
      <c r="AE705" s="29"/>
      <c r="AF705" s="27">
        <v>7.1319999999999997</v>
      </c>
      <c r="AG705" s="27">
        <f>AF706/AF705</f>
        <v>0.84590577678070678</v>
      </c>
      <c r="AJ705" s="27">
        <f>AJ704+AJ701+AJ698+AJ695+AJ689+AJ686+AJ674+AJ671+AJ668+AJ659+AJ656+AJ653+AJ644+AJ641+AJ635+AJ632+AJ629+AJ626+AJ623+AJ620+AJ617+AJ614+AJ608+AJ602+AJ599</f>
        <v>1730.451</v>
      </c>
      <c r="AL705" s="27">
        <f>SUM(AL597:AL703)</f>
        <v>12.364793598289143</v>
      </c>
      <c r="AO705" s="27">
        <f>AO692+AO683+AO680+AO677+AO665+AO662+AO650+AO647+AO638+AO611+AO605</f>
        <v>1735.3509999999997</v>
      </c>
      <c r="AQ705" s="27">
        <f>SUM(AQ600:AQ690)</f>
        <v>5.4452598703884574</v>
      </c>
    </row>
    <row r="706" spans="1:43" s="27" customFormat="1" ht="20.25" customHeight="1" x14ac:dyDescent="0.45">
      <c r="A706" s="26"/>
      <c r="B706" s="28">
        <v>25</v>
      </c>
      <c r="C706" s="29"/>
      <c r="D706" s="27">
        <v>7.5720000000000001</v>
      </c>
      <c r="E706" s="27">
        <f>D707/D706</f>
        <v>0.75171685155837298</v>
      </c>
      <c r="F706" s="29"/>
      <c r="L706" s="27">
        <v>25</v>
      </c>
      <c r="M706" s="29"/>
      <c r="N706" s="27">
        <v>10.638</v>
      </c>
      <c r="O706" s="27">
        <f>N707/N706</f>
        <v>0.56072570031960889</v>
      </c>
      <c r="P706" s="29"/>
      <c r="Y706" s="27">
        <v>110</v>
      </c>
      <c r="AB706" s="29"/>
      <c r="AC706" s="29"/>
      <c r="AE706" s="29"/>
      <c r="AF706" s="27">
        <v>6.0330000000000004</v>
      </c>
      <c r="AJ706" s="27">
        <f>AJ705/25</f>
        <v>69.218040000000002</v>
      </c>
      <c r="AL706" s="27">
        <f>AL705/25</f>
        <v>0.49459174393156574</v>
      </c>
      <c r="AO706" s="27">
        <f>(AO705-(90*11))/11</f>
        <v>67.759181818181787</v>
      </c>
      <c r="AQ706" s="27">
        <f>AQ705/11</f>
        <v>0.49502362458076887</v>
      </c>
    </row>
    <row r="707" spans="1:43" s="27" customFormat="1" ht="20.25" customHeight="1" x14ac:dyDescent="0.45">
      <c r="A707" s="26"/>
      <c r="B707" s="28">
        <v>26</v>
      </c>
      <c r="C707" s="29"/>
      <c r="D707" s="27">
        <v>5.6920000000000002</v>
      </c>
      <c r="E707" s="29"/>
      <c r="F707" s="29"/>
      <c r="L707" s="27">
        <v>26</v>
      </c>
      <c r="M707" s="29"/>
      <c r="N707" s="27">
        <v>5.9649999999999999</v>
      </c>
      <c r="O707" s="29"/>
      <c r="P707" s="29"/>
      <c r="Y707" s="27">
        <v>111</v>
      </c>
      <c r="AB707" s="29"/>
      <c r="AC707" s="29"/>
      <c r="AE707" s="27">
        <v>175.928</v>
      </c>
      <c r="AF707" s="29"/>
    </row>
    <row r="708" spans="1:43" s="27" customFormat="1" ht="20.25" customHeight="1" x14ac:dyDescent="0.45">
      <c r="A708" s="26"/>
      <c r="B708" s="28">
        <v>27</v>
      </c>
      <c r="C708" s="27">
        <v>62.220999999999997</v>
      </c>
      <c r="D708" s="29"/>
      <c r="E708" s="29"/>
      <c r="F708" s="29"/>
      <c r="L708" s="27">
        <v>27</v>
      </c>
      <c r="M708" s="27">
        <v>88.075999999999993</v>
      </c>
      <c r="N708" s="29"/>
      <c r="O708" s="29"/>
      <c r="P708" s="29"/>
      <c r="Y708" s="27">
        <v>112</v>
      </c>
      <c r="AB708" s="29"/>
      <c r="AC708" s="29"/>
      <c r="AE708" s="29"/>
      <c r="AF708" s="27">
        <v>9.6270000000000007</v>
      </c>
      <c r="AG708" s="27">
        <f>AF709/AF708</f>
        <v>0.4473875558325543</v>
      </c>
    </row>
    <row r="709" spans="1:43" s="27" customFormat="1" ht="20.25" customHeight="1" x14ac:dyDescent="0.45">
      <c r="A709" s="26"/>
      <c r="B709" s="28">
        <v>28</v>
      </c>
      <c r="C709" s="29"/>
      <c r="D709" s="27">
        <v>8.9649999999999999</v>
      </c>
      <c r="E709" s="27">
        <f>D710/D709</f>
        <v>0.61115448968209707</v>
      </c>
      <c r="F709" s="29"/>
      <c r="L709" s="27">
        <v>28</v>
      </c>
      <c r="O709" s="29"/>
      <c r="P709" s="29"/>
      <c r="R709" s="29"/>
      <c r="S709" s="27">
        <v>11.183</v>
      </c>
      <c r="T709" s="27">
        <f>S710/S709</f>
        <v>0.33184297594563178</v>
      </c>
      <c r="Y709" s="27">
        <v>113</v>
      </c>
      <c r="AB709" s="29"/>
      <c r="AC709" s="29"/>
      <c r="AE709" s="29"/>
      <c r="AF709" s="27">
        <v>4.3070000000000004</v>
      </c>
    </row>
    <row r="710" spans="1:43" s="27" customFormat="1" ht="20.25" customHeight="1" x14ac:dyDescent="0.45">
      <c r="A710" s="26"/>
      <c r="B710" s="28">
        <v>29</v>
      </c>
      <c r="C710" s="29"/>
      <c r="D710" s="27">
        <v>5.4790000000000001</v>
      </c>
      <c r="E710" s="29"/>
      <c r="F710" s="29"/>
      <c r="L710" s="27">
        <v>29</v>
      </c>
      <c r="O710" s="29"/>
      <c r="P710" s="29"/>
      <c r="R710" s="29"/>
      <c r="S710" s="27">
        <v>3.7109999999999999</v>
      </c>
      <c r="Y710" s="27">
        <v>114</v>
      </c>
      <c r="AB710" s="29"/>
      <c r="AC710" s="29"/>
      <c r="AE710" s="27">
        <v>93.691000000000003</v>
      </c>
      <c r="AF710" s="29"/>
    </row>
    <row r="711" spans="1:43" s="27" customFormat="1" ht="20.25" customHeight="1" x14ac:dyDescent="0.45">
      <c r="A711" s="26"/>
      <c r="B711" s="28">
        <v>30</v>
      </c>
      <c r="C711" s="27">
        <v>46.87</v>
      </c>
      <c r="D711" s="29"/>
      <c r="E711" s="29"/>
      <c r="F711" s="29"/>
      <c r="L711" s="27">
        <v>30</v>
      </c>
      <c r="O711" s="29"/>
      <c r="P711" s="29"/>
      <c r="R711" s="27">
        <v>125.357</v>
      </c>
      <c r="S711" s="29"/>
      <c r="Y711" s="27">
        <v>115</v>
      </c>
      <c r="AB711" s="29"/>
      <c r="AC711" s="29"/>
      <c r="AE711" s="29"/>
      <c r="AF711" s="27">
        <v>7.4960000000000004</v>
      </c>
      <c r="AG711" s="27">
        <f>AF712/AF711</f>
        <v>0.8768676627534685</v>
      </c>
    </row>
    <row r="712" spans="1:43" s="27" customFormat="1" ht="20.25" customHeight="1" x14ac:dyDescent="0.45">
      <c r="A712" s="26"/>
      <c r="B712" s="28">
        <v>31</v>
      </c>
      <c r="E712" s="29"/>
      <c r="F712" s="29"/>
      <c r="H712" s="29"/>
      <c r="I712" s="27">
        <v>6.8150000000000004</v>
      </c>
      <c r="J712" s="27">
        <f>I713/I712</f>
        <v>0.61702127659574468</v>
      </c>
      <c r="L712" s="27">
        <v>31</v>
      </c>
      <c r="M712" s="29"/>
      <c r="N712" s="27">
        <v>12.243</v>
      </c>
      <c r="O712" s="27">
        <f>N713/N712</f>
        <v>0.27142040349587521</v>
      </c>
      <c r="P712" s="29"/>
      <c r="Y712" s="27">
        <v>116</v>
      </c>
      <c r="AB712" s="29"/>
      <c r="AC712" s="29"/>
      <c r="AE712" s="29"/>
      <c r="AF712" s="27">
        <v>6.5730000000000004</v>
      </c>
    </row>
    <row r="713" spans="1:43" s="27" customFormat="1" ht="20.25" customHeight="1" x14ac:dyDescent="0.45">
      <c r="A713" s="26"/>
      <c r="B713" s="28">
        <v>32</v>
      </c>
      <c r="E713" s="29"/>
      <c r="F713" s="29"/>
      <c r="H713" s="29"/>
      <c r="I713" s="27">
        <v>4.2050000000000001</v>
      </c>
      <c r="L713" s="27">
        <v>32</v>
      </c>
      <c r="M713" s="29"/>
      <c r="N713" s="27">
        <v>3.323</v>
      </c>
      <c r="O713" s="29"/>
      <c r="P713" s="29"/>
      <c r="Y713" s="27">
        <v>117</v>
      </c>
      <c r="AB713" s="29"/>
      <c r="AC713" s="29"/>
      <c r="AE713" s="27">
        <v>118.673</v>
      </c>
      <c r="AF713" s="29"/>
    </row>
    <row r="714" spans="1:43" s="27" customFormat="1" ht="20.25" customHeight="1" x14ac:dyDescent="0.45">
      <c r="A714" s="26"/>
      <c r="B714" s="28">
        <v>33</v>
      </c>
      <c r="E714" s="29"/>
      <c r="F714" s="29"/>
      <c r="H714" s="27">
        <v>116.09699999999999</v>
      </c>
      <c r="I714" s="29"/>
      <c r="L714" s="27">
        <v>33</v>
      </c>
      <c r="M714" s="27">
        <v>74.055999999999997</v>
      </c>
      <c r="N714" s="29"/>
      <c r="O714" s="29"/>
      <c r="P714" s="29"/>
      <c r="Y714" s="27">
        <v>118</v>
      </c>
      <c r="Z714" s="29"/>
      <c r="AA714" s="27">
        <v>7.024</v>
      </c>
      <c r="AB714" s="27">
        <f>AA715/AA714</f>
        <v>0.72181093394077456</v>
      </c>
      <c r="AC714" s="29"/>
    </row>
    <row r="715" spans="1:43" s="27" customFormat="1" ht="20.25" customHeight="1" x14ac:dyDescent="0.45">
      <c r="A715" s="26"/>
      <c r="B715" s="28">
        <v>34</v>
      </c>
      <c r="C715" s="29"/>
      <c r="D715" s="27">
        <v>6.8239999999999998</v>
      </c>
      <c r="E715" s="27">
        <f>D716/D715</f>
        <v>0.7813599062133646</v>
      </c>
      <c r="F715" s="29"/>
      <c r="L715" s="27">
        <v>34</v>
      </c>
      <c r="M715" s="29"/>
      <c r="N715" s="27">
        <v>9.3979999999999997</v>
      </c>
      <c r="O715" s="27">
        <f>N716/N715</f>
        <v>0.4859544583954033</v>
      </c>
      <c r="P715" s="29"/>
      <c r="Y715" s="27">
        <v>119</v>
      </c>
      <c r="Z715" s="29"/>
      <c r="AA715" s="27">
        <v>5.07</v>
      </c>
      <c r="AB715" s="29"/>
      <c r="AC715" s="29"/>
    </row>
    <row r="716" spans="1:43" s="27" customFormat="1" ht="20.25" customHeight="1" x14ac:dyDescent="0.45">
      <c r="A716" s="26"/>
      <c r="B716" s="28">
        <v>35</v>
      </c>
      <c r="C716" s="29"/>
      <c r="D716" s="27">
        <v>5.3319999999999999</v>
      </c>
      <c r="E716" s="29"/>
      <c r="F716" s="29"/>
      <c r="L716" s="27">
        <v>35</v>
      </c>
      <c r="M716" s="29"/>
      <c r="N716" s="27">
        <v>4.5670000000000002</v>
      </c>
      <c r="O716" s="29"/>
      <c r="P716" s="29"/>
      <c r="Y716" s="27">
        <v>120</v>
      </c>
      <c r="Z716" s="27">
        <v>79.251999999999995</v>
      </c>
      <c r="AA716" s="29"/>
      <c r="AB716" s="29"/>
      <c r="AC716" s="29"/>
    </row>
    <row r="717" spans="1:43" s="27" customFormat="1" ht="20.25" customHeight="1" x14ac:dyDescent="0.45">
      <c r="A717" s="26"/>
      <c r="B717" s="28">
        <v>36</v>
      </c>
      <c r="C717" s="27">
        <v>47.927999999999997</v>
      </c>
      <c r="D717" s="29"/>
      <c r="E717" s="29"/>
      <c r="F717" s="29"/>
      <c r="L717" s="27">
        <v>36</v>
      </c>
      <c r="M717" s="27">
        <v>86.100999999999999</v>
      </c>
      <c r="N717" s="29"/>
      <c r="O717" s="29"/>
      <c r="P717" s="29"/>
      <c r="Y717" s="27">
        <v>121</v>
      </c>
      <c r="AB717" s="29"/>
      <c r="AC717" s="29"/>
      <c r="AE717" s="29"/>
      <c r="AF717" s="27">
        <v>9.1890000000000001</v>
      </c>
      <c r="AG717" s="27">
        <f>AF718/AF717</f>
        <v>0.53411687887691806</v>
      </c>
    </row>
    <row r="718" spans="1:43" s="27" customFormat="1" ht="20.25" customHeight="1" x14ac:dyDescent="0.45">
      <c r="A718" s="26"/>
      <c r="B718" s="28">
        <v>37</v>
      </c>
      <c r="E718" s="29"/>
      <c r="F718" s="29"/>
      <c r="H718" s="29"/>
      <c r="I718" s="27">
        <v>6.3959999999999999</v>
      </c>
      <c r="J718" s="27">
        <f>I719/I718</f>
        <v>0.62101313320825513</v>
      </c>
      <c r="L718" s="27">
        <v>37</v>
      </c>
      <c r="M718" s="29"/>
      <c r="N718" s="27">
        <v>6.7370000000000001</v>
      </c>
      <c r="O718" s="27">
        <f>N719/N718</f>
        <v>0.79694225916580075</v>
      </c>
      <c r="P718" s="29"/>
      <c r="Y718" s="27">
        <v>122</v>
      </c>
      <c r="AB718" s="29"/>
      <c r="AC718" s="29"/>
      <c r="AE718" s="29"/>
      <c r="AF718" s="27">
        <v>4.9080000000000004</v>
      </c>
    </row>
    <row r="719" spans="1:43" s="27" customFormat="1" ht="20.25" customHeight="1" x14ac:dyDescent="0.45">
      <c r="A719" s="26"/>
      <c r="B719" s="28">
        <v>38</v>
      </c>
      <c r="E719" s="29"/>
      <c r="F719" s="29"/>
      <c r="H719" s="29"/>
      <c r="I719" s="27">
        <v>3.972</v>
      </c>
      <c r="L719" s="27">
        <v>38</v>
      </c>
      <c r="M719" s="29"/>
      <c r="N719" s="27">
        <v>5.3689999999999998</v>
      </c>
      <c r="O719" s="29"/>
      <c r="P719" s="29"/>
      <c r="Y719" s="27">
        <v>123</v>
      </c>
      <c r="AB719" s="29"/>
      <c r="AC719" s="29"/>
      <c r="AE719" s="27">
        <v>149.69200000000001</v>
      </c>
      <c r="AF719" s="29"/>
    </row>
    <row r="720" spans="1:43" s="27" customFormat="1" ht="20.25" customHeight="1" x14ac:dyDescent="0.45">
      <c r="A720" s="26"/>
      <c r="B720" s="28">
        <v>39</v>
      </c>
      <c r="E720" s="29"/>
      <c r="F720" s="29"/>
      <c r="H720" s="27">
        <v>105.34399999999999</v>
      </c>
      <c r="I720" s="29"/>
      <c r="L720" s="27">
        <v>39</v>
      </c>
      <c r="M720" s="27">
        <v>83.506</v>
      </c>
      <c r="N720" s="29"/>
      <c r="O720" s="29"/>
      <c r="P720" s="29"/>
      <c r="Y720" s="27">
        <v>124</v>
      </c>
      <c r="AB720" s="29"/>
      <c r="AC720" s="29"/>
      <c r="AE720" s="29"/>
      <c r="AF720" s="27">
        <v>8.1059999999999999</v>
      </c>
      <c r="AG720" s="27">
        <f>AF721/AF720</f>
        <v>0.76400197384653334</v>
      </c>
    </row>
    <row r="721" spans="1:33" s="27" customFormat="1" ht="20.25" customHeight="1" x14ac:dyDescent="0.45">
      <c r="A721" s="26"/>
      <c r="B721" s="28">
        <v>40</v>
      </c>
      <c r="E721" s="29"/>
      <c r="F721" s="29"/>
      <c r="H721" s="29"/>
      <c r="I721" s="27">
        <v>7.3550000000000004</v>
      </c>
      <c r="J721" s="27">
        <f>I722/I721</f>
        <v>0.45180149558123722</v>
      </c>
      <c r="L721" s="27">
        <v>40</v>
      </c>
      <c r="M721" s="29"/>
      <c r="N721" s="27">
        <v>9.4570000000000007</v>
      </c>
      <c r="O721" s="27">
        <f>N722/N721</f>
        <v>0.52151845194036162</v>
      </c>
      <c r="P721" s="29"/>
      <c r="Y721" s="27">
        <v>125</v>
      </c>
      <c r="AB721" s="29"/>
      <c r="AC721" s="29"/>
      <c r="AE721" s="29"/>
      <c r="AF721" s="27">
        <v>6.1929999999999996</v>
      </c>
    </row>
    <row r="722" spans="1:33" s="27" customFormat="1" ht="20.25" customHeight="1" x14ac:dyDescent="0.45">
      <c r="A722" s="26"/>
      <c r="B722" s="28">
        <v>41</v>
      </c>
      <c r="E722" s="29"/>
      <c r="F722" s="29"/>
      <c r="H722" s="29"/>
      <c r="I722" s="27">
        <v>3.323</v>
      </c>
      <c r="L722" s="27">
        <v>41</v>
      </c>
      <c r="M722" s="29"/>
      <c r="N722" s="27">
        <v>4.9320000000000004</v>
      </c>
      <c r="O722" s="29"/>
      <c r="P722" s="29"/>
      <c r="Y722" s="27">
        <v>126</v>
      </c>
      <c r="AB722" s="29"/>
      <c r="AC722" s="29"/>
      <c r="AE722" s="27">
        <v>168.55500000000001</v>
      </c>
      <c r="AF722" s="29"/>
    </row>
    <row r="723" spans="1:33" s="27" customFormat="1" ht="20.25" customHeight="1" x14ac:dyDescent="0.45">
      <c r="A723" s="26"/>
      <c r="B723" s="28">
        <v>42</v>
      </c>
      <c r="E723" s="29"/>
      <c r="F723" s="29"/>
      <c r="H723" s="27">
        <v>100.619</v>
      </c>
      <c r="I723" s="29"/>
      <c r="L723" s="27">
        <v>42</v>
      </c>
      <c r="M723" s="27">
        <v>59.345999999999997</v>
      </c>
      <c r="N723" s="29"/>
      <c r="O723" s="29"/>
      <c r="P723" s="29"/>
      <c r="Y723" s="27">
        <v>127</v>
      </c>
      <c r="Z723" s="29"/>
      <c r="AA723" s="27">
        <v>10</v>
      </c>
      <c r="AB723" s="27">
        <f>AA724/AA723</f>
        <v>0.44169999999999998</v>
      </c>
      <c r="AC723" s="29"/>
    </row>
    <row r="724" spans="1:33" s="27" customFormat="1" ht="20.25" customHeight="1" x14ac:dyDescent="0.45">
      <c r="A724" s="26"/>
      <c r="B724" s="28">
        <v>43</v>
      </c>
      <c r="E724" s="29"/>
      <c r="F724" s="29"/>
      <c r="H724" s="29"/>
      <c r="I724" s="27">
        <v>6.0259999999999998</v>
      </c>
      <c r="J724" s="27">
        <f>I725/I724</f>
        <v>0.67806173249253243</v>
      </c>
      <c r="L724" s="27">
        <v>43</v>
      </c>
      <c r="O724" s="29"/>
      <c r="P724" s="29"/>
      <c r="R724" s="29"/>
      <c r="S724" s="27">
        <v>6.2939999999999996</v>
      </c>
      <c r="T724" s="27">
        <f>S725/S724</f>
        <v>0.55084207181442646</v>
      </c>
      <c r="Y724" s="27">
        <v>128</v>
      </c>
      <c r="Z724" s="29"/>
      <c r="AA724" s="27">
        <v>4.4169999999999998</v>
      </c>
      <c r="AB724" s="29"/>
      <c r="AC724" s="29"/>
    </row>
    <row r="725" spans="1:33" s="27" customFormat="1" ht="20.25" customHeight="1" x14ac:dyDescent="0.45">
      <c r="A725" s="26"/>
      <c r="B725" s="28">
        <v>44</v>
      </c>
      <c r="E725" s="29"/>
      <c r="F725" s="29"/>
      <c r="H725" s="29"/>
      <c r="I725" s="27">
        <v>4.0860000000000003</v>
      </c>
      <c r="L725" s="27">
        <v>44</v>
      </c>
      <c r="O725" s="29"/>
      <c r="P725" s="29"/>
      <c r="R725" s="29"/>
      <c r="S725" s="27">
        <v>3.4670000000000001</v>
      </c>
      <c r="Y725" s="27">
        <v>129</v>
      </c>
      <c r="Z725" s="27">
        <v>75.61</v>
      </c>
      <c r="AA725" s="29"/>
      <c r="AB725" s="29"/>
      <c r="AC725" s="29"/>
    </row>
    <row r="726" spans="1:33" s="27" customFormat="1" ht="20.25" customHeight="1" x14ac:dyDescent="0.45">
      <c r="A726" s="26"/>
      <c r="B726" s="28">
        <v>45</v>
      </c>
      <c r="E726" s="29"/>
      <c r="F726" s="29"/>
      <c r="H726" s="27">
        <v>135.696</v>
      </c>
      <c r="I726" s="29"/>
      <c r="L726" s="27">
        <v>45</v>
      </c>
      <c r="O726" s="29"/>
      <c r="P726" s="29"/>
      <c r="R726" s="27">
        <v>95.567999999999998</v>
      </c>
      <c r="S726" s="29"/>
      <c r="Y726" s="27">
        <v>130</v>
      </c>
      <c r="AB726" s="29"/>
      <c r="AC726" s="29"/>
      <c r="AE726" s="29"/>
      <c r="AF726" s="27">
        <v>7.5449999999999999</v>
      </c>
      <c r="AG726" s="27">
        <f>AF727/AF726</f>
        <v>0.64996686547382376</v>
      </c>
    </row>
    <row r="727" spans="1:33" s="27" customFormat="1" ht="20.25" customHeight="1" x14ac:dyDescent="0.45">
      <c r="A727" s="26"/>
      <c r="B727" s="28">
        <v>46</v>
      </c>
      <c r="C727" s="29"/>
      <c r="D727" s="27">
        <v>7.5410000000000004</v>
      </c>
      <c r="E727" s="27">
        <f>D728/D727</f>
        <v>0.79657870308977585</v>
      </c>
      <c r="F727" s="29"/>
      <c r="L727" s="27">
        <v>46</v>
      </c>
      <c r="O727" s="29"/>
      <c r="P727" s="29"/>
      <c r="R727" s="29"/>
      <c r="S727" s="27">
        <v>8.3350000000000009</v>
      </c>
      <c r="T727" s="27">
        <f>S728/S727</f>
        <v>0.48350329934013198</v>
      </c>
      <c r="Y727" s="27">
        <v>131</v>
      </c>
      <c r="AB727" s="29"/>
      <c r="AC727" s="29"/>
      <c r="AE727" s="29"/>
      <c r="AF727" s="27">
        <v>4.9039999999999999</v>
      </c>
    </row>
    <row r="728" spans="1:33" s="27" customFormat="1" ht="20.25" customHeight="1" x14ac:dyDescent="0.45">
      <c r="A728" s="26"/>
      <c r="B728" s="28">
        <v>47</v>
      </c>
      <c r="C728" s="29"/>
      <c r="D728" s="27">
        <v>6.0069999999999997</v>
      </c>
      <c r="E728" s="29"/>
      <c r="F728" s="29"/>
      <c r="L728" s="27">
        <v>47</v>
      </c>
      <c r="O728" s="29"/>
      <c r="P728" s="29"/>
      <c r="R728" s="29"/>
      <c r="S728" s="27">
        <v>4.03</v>
      </c>
      <c r="Y728" s="27">
        <v>132</v>
      </c>
      <c r="AB728" s="29"/>
      <c r="AC728" s="29"/>
      <c r="AE728" s="27">
        <v>146.03700000000001</v>
      </c>
      <c r="AF728" s="29"/>
    </row>
    <row r="729" spans="1:33" s="27" customFormat="1" ht="20.25" customHeight="1" x14ac:dyDescent="0.45">
      <c r="A729" s="26"/>
      <c r="B729" s="28">
        <v>48</v>
      </c>
      <c r="C729" s="27">
        <v>25.023</v>
      </c>
      <c r="D729" s="29"/>
      <c r="E729" s="29"/>
      <c r="F729" s="29"/>
      <c r="L729" s="27">
        <v>48</v>
      </c>
      <c r="O729" s="29"/>
      <c r="P729" s="29"/>
      <c r="R729" s="27">
        <v>163.74</v>
      </c>
      <c r="S729" s="29"/>
      <c r="Z729" s="27">
        <f>Z725+Z716+Z704+Z692+Z665+Z647+Z641+Z629+Z626+Z614+Z608+Z602+Z599</f>
        <v>742.62200000000007</v>
      </c>
      <c r="AB729" s="27">
        <f>SUM(AB597:AB728)</f>
        <v>7.6266470077131343</v>
      </c>
      <c r="AE729" s="27">
        <f>AE728+AE722+AE719+AE713+AE710+AE707+AE701+AE698+AE695+AE689+AE686+AE683+AE680+AE677+AE674+AE671+AE668+AE662+AE659+AE656+AE653+AE650+AE644+AE638+AE635+AE632+AE623+AE620+AE617+AE611+AE605</f>
        <v>4236.2279999999992</v>
      </c>
      <c r="AG729" s="27">
        <f>SUM(AG598:AG728)</f>
        <v>20.504425811916629</v>
      </c>
    </row>
    <row r="730" spans="1:33" s="27" customFormat="1" ht="20.25" customHeight="1" x14ac:dyDescent="0.45">
      <c r="A730" s="26"/>
      <c r="B730" s="28">
        <v>49</v>
      </c>
      <c r="E730" s="29"/>
      <c r="F730" s="29"/>
      <c r="H730" s="29"/>
      <c r="I730" s="27">
        <v>9.4109999999999996</v>
      </c>
      <c r="J730" s="27">
        <f>I731/I730</f>
        <v>0.52629901179470839</v>
      </c>
      <c r="L730" s="27">
        <v>49</v>
      </c>
      <c r="O730" s="29"/>
      <c r="P730" s="29"/>
      <c r="R730" s="29"/>
      <c r="S730" s="27">
        <v>9.31</v>
      </c>
      <c r="T730" s="27">
        <f>S731/S730</f>
        <v>0.54274973147153593</v>
      </c>
      <c r="Z730" s="27">
        <f>Z729/13</f>
        <v>57.124769230769239</v>
      </c>
      <c r="AB730" s="27">
        <f>AB729/13</f>
        <v>0.58666515443947187</v>
      </c>
      <c r="AE730" s="27">
        <f>(AE729-(90*31))/31</f>
        <v>46.652516129032229</v>
      </c>
      <c r="AG730" s="27">
        <f>AG729/31</f>
        <v>0.66143309070698808</v>
      </c>
    </row>
    <row r="731" spans="1:33" s="27" customFormat="1" ht="20.25" customHeight="1" x14ac:dyDescent="0.45">
      <c r="A731" s="26"/>
      <c r="B731" s="28">
        <v>50</v>
      </c>
      <c r="E731" s="29"/>
      <c r="F731" s="29"/>
      <c r="H731" s="29"/>
      <c r="I731" s="27">
        <v>4.9530000000000003</v>
      </c>
      <c r="L731" s="27">
        <v>50</v>
      </c>
      <c r="O731" s="29"/>
      <c r="P731" s="29"/>
      <c r="R731" s="29"/>
      <c r="S731" s="27">
        <v>5.0529999999999999</v>
      </c>
    </row>
    <row r="732" spans="1:33" s="27" customFormat="1" ht="20.25" customHeight="1" x14ac:dyDescent="0.45">
      <c r="A732" s="26"/>
      <c r="B732" s="28">
        <v>51</v>
      </c>
      <c r="E732" s="29"/>
      <c r="F732" s="29"/>
      <c r="H732" s="27">
        <v>172.31299999999999</v>
      </c>
      <c r="I732" s="29"/>
      <c r="L732" s="27">
        <v>51</v>
      </c>
      <c r="O732" s="29"/>
      <c r="P732" s="29"/>
      <c r="R732" s="27">
        <v>168.047</v>
      </c>
      <c r="S732" s="29"/>
    </row>
    <row r="733" spans="1:33" s="27" customFormat="1" ht="20.25" customHeight="1" x14ac:dyDescent="0.45">
      <c r="A733" s="26"/>
      <c r="B733" s="28">
        <v>52</v>
      </c>
      <c r="E733" s="29"/>
      <c r="F733" s="29"/>
      <c r="H733" s="29"/>
      <c r="I733" s="27">
        <v>6.1269999999999998</v>
      </c>
      <c r="J733" s="27">
        <f>I734/I733</f>
        <v>0.69332462869267186</v>
      </c>
      <c r="L733" s="27">
        <v>52</v>
      </c>
      <c r="M733" s="29"/>
      <c r="N733" s="27">
        <v>10.222</v>
      </c>
      <c r="O733" s="27">
        <f>N734/N733</f>
        <v>0.43875953825083158</v>
      </c>
      <c r="P733" s="29"/>
    </row>
    <row r="734" spans="1:33" s="27" customFormat="1" ht="20.25" customHeight="1" x14ac:dyDescent="0.45">
      <c r="A734" s="26"/>
      <c r="B734" s="28">
        <v>53</v>
      </c>
      <c r="E734" s="29"/>
      <c r="F734" s="29"/>
      <c r="H734" s="29"/>
      <c r="I734" s="27">
        <v>4.2480000000000002</v>
      </c>
      <c r="L734" s="27">
        <v>53</v>
      </c>
      <c r="M734" s="29"/>
      <c r="N734" s="27">
        <v>4.4850000000000003</v>
      </c>
      <c r="O734" s="29"/>
      <c r="P734" s="29"/>
    </row>
    <row r="735" spans="1:33" s="27" customFormat="1" ht="20.25" customHeight="1" x14ac:dyDescent="0.45">
      <c r="A735" s="26"/>
      <c r="B735" s="28">
        <v>54</v>
      </c>
      <c r="E735" s="29"/>
      <c r="F735" s="29"/>
      <c r="H735" s="27">
        <v>129.43600000000001</v>
      </c>
      <c r="I735" s="29"/>
      <c r="L735" s="27">
        <v>54</v>
      </c>
      <c r="M735" s="27">
        <v>80.153000000000006</v>
      </c>
      <c r="N735" s="29"/>
      <c r="O735" s="29"/>
      <c r="P735" s="29"/>
    </row>
    <row r="736" spans="1:33" s="27" customFormat="1" ht="20.25" customHeight="1" x14ac:dyDescent="0.45">
      <c r="A736" s="26"/>
      <c r="B736" s="28">
        <v>55</v>
      </c>
      <c r="E736" s="29"/>
      <c r="F736" s="29"/>
      <c r="H736" s="29"/>
      <c r="I736" s="27">
        <v>5.1319999999999997</v>
      </c>
      <c r="J736" s="27">
        <f>I737/I736</f>
        <v>0.83125487139516763</v>
      </c>
      <c r="L736" s="27">
        <v>55</v>
      </c>
      <c r="O736" s="29"/>
      <c r="P736" s="29"/>
      <c r="R736" s="29"/>
      <c r="S736" s="27">
        <v>6.5279999999999996</v>
      </c>
      <c r="T736" s="27">
        <f>S737/S736</f>
        <v>0.67172181372549022</v>
      </c>
    </row>
    <row r="737" spans="1:72" s="27" customFormat="1" ht="20.25" customHeight="1" x14ac:dyDescent="0.45">
      <c r="A737" s="26"/>
      <c r="B737" s="28">
        <v>56</v>
      </c>
      <c r="E737" s="29"/>
      <c r="F737" s="29"/>
      <c r="H737" s="29"/>
      <c r="I737" s="27">
        <v>4.266</v>
      </c>
      <c r="L737" s="27">
        <v>56</v>
      </c>
      <c r="O737" s="29"/>
      <c r="P737" s="29"/>
      <c r="R737" s="29"/>
      <c r="S737" s="27">
        <v>4.3849999999999998</v>
      </c>
    </row>
    <row r="738" spans="1:72" s="27" customFormat="1" ht="20.25" customHeight="1" x14ac:dyDescent="0.45">
      <c r="A738" s="26"/>
      <c r="B738" s="28">
        <v>57</v>
      </c>
      <c r="E738" s="29"/>
      <c r="F738" s="29"/>
      <c r="H738" s="27">
        <v>98.084999999999994</v>
      </c>
      <c r="I738" s="29"/>
      <c r="L738" s="27">
        <v>57</v>
      </c>
      <c r="O738" s="29"/>
      <c r="P738" s="29"/>
      <c r="R738" s="27">
        <v>178.70099999999999</v>
      </c>
      <c r="S738" s="29"/>
    </row>
    <row r="739" spans="1:72" s="27" customFormat="1" ht="20.25" customHeight="1" x14ac:dyDescent="0.45">
      <c r="A739" s="26"/>
      <c r="B739" s="28">
        <v>58</v>
      </c>
      <c r="E739" s="29"/>
      <c r="F739" s="29"/>
      <c r="H739" s="29"/>
      <c r="I739" s="27">
        <v>7.1459999999999999</v>
      </c>
      <c r="J739" s="27">
        <f>I740/I739</f>
        <v>0.87195633921074722</v>
      </c>
      <c r="L739" s="27">
        <v>58</v>
      </c>
      <c r="O739" s="29"/>
      <c r="P739" s="29"/>
      <c r="R739" s="29"/>
      <c r="S739" s="27">
        <v>9.09</v>
      </c>
      <c r="T739" s="27">
        <f>S740/S739</f>
        <v>0.4859185918591859</v>
      </c>
    </row>
    <row r="740" spans="1:72" s="27" customFormat="1" ht="20.25" customHeight="1" x14ac:dyDescent="0.45">
      <c r="A740" s="26"/>
      <c r="B740" s="28">
        <v>59</v>
      </c>
      <c r="E740" s="29"/>
      <c r="F740" s="29"/>
      <c r="H740" s="29"/>
      <c r="I740" s="27">
        <v>6.2309999999999999</v>
      </c>
      <c r="L740" s="27">
        <v>59</v>
      </c>
      <c r="O740" s="29"/>
      <c r="P740" s="29"/>
      <c r="R740" s="29"/>
      <c r="S740" s="27">
        <v>4.4169999999999998</v>
      </c>
    </row>
    <row r="741" spans="1:72" s="27" customFormat="1" ht="20.25" customHeight="1" x14ac:dyDescent="0.45">
      <c r="A741" s="26"/>
      <c r="B741" s="28">
        <v>60</v>
      </c>
      <c r="E741" s="29"/>
      <c r="F741" s="29"/>
      <c r="H741" s="27">
        <v>109.964</v>
      </c>
      <c r="I741" s="29"/>
      <c r="L741" s="27">
        <v>60</v>
      </c>
      <c r="O741" s="29"/>
      <c r="P741" s="29"/>
      <c r="R741" s="27">
        <v>149.631</v>
      </c>
      <c r="S741" s="29"/>
    </row>
    <row r="742" spans="1:72" s="27" customFormat="1" ht="20.25" customHeight="1" x14ac:dyDescent="0.45">
      <c r="A742" s="26"/>
      <c r="B742" s="28">
        <v>61</v>
      </c>
      <c r="C742" s="29"/>
      <c r="D742" s="27">
        <v>10.644</v>
      </c>
      <c r="E742" s="27">
        <f>D743/D742</f>
        <v>0.4917324314167606</v>
      </c>
      <c r="F742" s="29"/>
      <c r="L742" s="27">
        <v>61</v>
      </c>
      <c r="O742" s="29"/>
      <c r="P742" s="29"/>
      <c r="R742" s="29"/>
      <c r="S742" s="27">
        <v>8.7249999999999996</v>
      </c>
      <c r="T742" s="27">
        <f>S743/S742</f>
        <v>0.36378223495702006</v>
      </c>
    </row>
    <row r="743" spans="1:72" s="27" customFormat="1" ht="20.25" customHeight="1" x14ac:dyDescent="0.45">
      <c r="A743" s="26"/>
      <c r="B743" s="28">
        <v>62</v>
      </c>
      <c r="C743" s="29"/>
      <c r="D743" s="27">
        <v>5.234</v>
      </c>
      <c r="E743" s="29"/>
      <c r="F743" s="29"/>
      <c r="L743" s="27">
        <v>62</v>
      </c>
      <c r="O743" s="29"/>
      <c r="P743" s="29"/>
      <c r="R743" s="29"/>
      <c r="S743" s="27">
        <v>3.1739999999999999</v>
      </c>
      <c r="AB743" s="27" t="s">
        <v>87</v>
      </c>
      <c r="AC743" s="32">
        <v>1</v>
      </c>
      <c r="AH743" s="29"/>
      <c r="AI743" s="27">
        <v>7.3710000000000004</v>
      </c>
      <c r="AJ743" s="27">
        <f>AI744/AI743</f>
        <v>0.55596255596255595</v>
      </c>
      <c r="AL743" s="29"/>
      <c r="AM743" s="27" t="s">
        <v>87</v>
      </c>
      <c r="AN743" s="27">
        <v>1</v>
      </c>
      <c r="AO743" s="29"/>
      <c r="AP743" s="27">
        <v>9.6780000000000008</v>
      </c>
      <c r="AQ743" s="27">
        <f>AP744/AP743</f>
        <v>0.68061582971688361</v>
      </c>
      <c r="AX743" s="27" t="s">
        <v>88</v>
      </c>
      <c r="AY743" s="27">
        <v>1</v>
      </c>
      <c r="BC743" s="29"/>
      <c r="BE743" s="29"/>
      <c r="BF743" s="27">
        <v>10.095000000000001</v>
      </c>
      <c r="BG743" s="27">
        <f>BF744/BF743</f>
        <v>0.36780584447746406</v>
      </c>
      <c r="BJ743" s="27" t="s">
        <v>88</v>
      </c>
      <c r="BK743" s="27">
        <v>1</v>
      </c>
      <c r="BL743" s="29"/>
      <c r="BM743" s="27">
        <v>10.17</v>
      </c>
      <c r="BN743" s="27">
        <f>BM744/BM743</f>
        <v>0.79832841691248768</v>
      </c>
      <c r="BO743" s="29"/>
    </row>
    <row r="744" spans="1:72" s="27" customFormat="1" ht="20.25" customHeight="1" x14ac:dyDescent="0.45">
      <c r="A744" s="26"/>
      <c r="B744" s="28">
        <v>63</v>
      </c>
      <c r="C744" s="27">
        <v>58.860999999999997</v>
      </c>
      <c r="D744" s="29"/>
      <c r="E744" s="29"/>
      <c r="F744" s="29"/>
      <c r="L744" s="27">
        <v>63</v>
      </c>
      <c r="O744" s="29"/>
      <c r="P744" s="29"/>
      <c r="R744" s="27">
        <v>142.047</v>
      </c>
      <c r="S744" s="29"/>
      <c r="AC744" s="27">
        <v>2</v>
      </c>
      <c r="AH744" s="29"/>
      <c r="AI744" s="27">
        <v>4.0979999999999999</v>
      </c>
      <c r="AJ744" s="29"/>
      <c r="AL744" s="29"/>
      <c r="AM744" s="29"/>
      <c r="AN744" s="27">
        <v>2</v>
      </c>
      <c r="AO744" s="29"/>
      <c r="AP744" s="27">
        <v>6.5869999999999997</v>
      </c>
      <c r="AQ744" s="29"/>
      <c r="AY744" s="27">
        <v>2</v>
      </c>
      <c r="BC744" s="29"/>
      <c r="BE744" s="29"/>
      <c r="BF744" s="27">
        <v>3.7130000000000001</v>
      </c>
      <c r="BG744" s="29"/>
      <c r="BK744" s="27">
        <v>2</v>
      </c>
      <c r="BL744" s="29"/>
      <c r="BM744" s="27">
        <v>8.1189999999999998</v>
      </c>
      <c r="BN744" s="29"/>
      <c r="BO744" s="29"/>
    </row>
    <row r="745" spans="1:72" s="27" customFormat="1" ht="20.25" customHeight="1" x14ac:dyDescent="0.45">
      <c r="A745" s="26"/>
      <c r="B745" s="28">
        <v>64</v>
      </c>
      <c r="C745" s="29"/>
      <c r="D745" s="27">
        <v>8.7460000000000004</v>
      </c>
      <c r="E745" s="27">
        <f>D746/D745</f>
        <v>0.7747541733363823</v>
      </c>
      <c r="F745" s="29"/>
      <c r="L745" s="27">
        <v>64</v>
      </c>
      <c r="M745" s="29"/>
      <c r="N745" s="27">
        <v>9.7729999999999997</v>
      </c>
      <c r="O745" s="27">
        <f>N746/N745</f>
        <v>0.58242095569425978</v>
      </c>
      <c r="P745" s="29"/>
      <c r="AC745" s="27">
        <v>3</v>
      </c>
      <c r="AH745" s="27">
        <v>140.65299999999999</v>
      </c>
      <c r="AI745" s="29"/>
      <c r="AJ745" s="29"/>
      <c r="AL745" s="29"/>
      <c r="AM745" s="29"/>
      <c r="AN745" s="27">
        <v>3</v>
      </c>
      <c r="AO745" s="27">
        <v>89.694000000000003</v>
      </c>
      <c r="AP745" s="29"/>
      <c r="AQ745" s="29"/>
      <c r="AY745" s="27">
        <v>3</v>
      </c>
      <c r="BC745" s="29"/>
      <c r="BE745" s="27">
        <v>93.260999999999996</v>
      </c>
      <c r="BF745" s="29"/>
      <c r="BG745" s="29"/>
      <c r="BK745" s="27">
        <v>3</v>
      </c>
      <c r="BL745" s="27">
        <v>73.718000000000004</v>
      </c>
      <c r="BM745" s="29"/>
      <c r="BN745" s="29"/>
      <c r="BO745" s="29"/>
    </row>
    <row r="746" spans="1:72" s="27" customFormat="1" ht="20.25" customHeight="1" x14ac:dyDescent="0.45">
      <c r="A746" s="26"/>
      <c r="B746" s="28">
        <v>65</v>
      </c>
      <c r="C746" s="29"/>
      <c r="D746" s="27">
        <v>6.7759999999999998</v>
      </c>
      <c r="E746" s="29"/>
      <c r="F746" s="29"/>
      <c r="L746" s="27">
        <v>65</v>
      </c>
      <c r="M746" s="29"/>
      <c r="N746" s="27">
        <v>5.6920000000000002</v>
      </c>
      <c r="O746" s="29"/>
      <c r="P746" s="29"/>
      <c r="AC746" s="27">
        <v>4</v>
      </c>
      <c r="AH746" s="29"/>
      <c r="AI746" s="27">
        <v>8.3989999999999991</v>
      </c>
      <c r="AJ746" s="27">
        <f>AI747/AI746</f>
        <v>0.63959995237528278</v>
      </c>
      <c r="AL746" s="29"/>
      <c r="AM746" s="29"/>
      <c r="AN746" s="27">
        <v>4</v>
      </c>
      <c r="AO746" s="29"/>
      <c r="AP746" s="27">
        <v>9.44</v>
      </c>
      <c r="AQ746" s="27">
        <f>AP747/AP746</f>
        <v>0.48908898305084747</v>
      </c>
      <c r="AY746" s="27">
        <v>4</v>
      </c>
      <c r="BC746" s="29"/>
      <c r="BE746" s="29"/>
      <c r="BF746" s="27">
        <v>7.3070000000000004</v>
      </c>
      <c r="BG746" s="27">
        <f>BF747/BF746</f>
        <v>0.53961954290406455</v>
      </c>
      <c r="BJ746" s="27" t="s">
        <v>89</v>
      </c>
      <c r="BK746" s="27">
        <v>1</v>
      </c>
      <c r="BL746" s="29"/>
      <c r="BM746" s="27">
        <v>7.3390000000000004</v>
      </c>
      <c r="BN746" s="27">
        <f>BM747/BM746</f>
        <v>0.57950674478811826</v>
      </c>
      <c r="BO746" s="29"/>
    </row>
    <row r="747" spans="1:72" s="27" customFormat="1" ht="20.25" customHeight="1" x14ac:dyDescent="0.45">
      <c r="A747" s="26"/>
      <c r="B747" s="28">
        <v>66</v>
      </c>
      <c r="C747" s="27">
        <v>89.56</v>
      </c>
      <c r="D747" s="29"/>
      <c r="E747" s="29"/>
      <c r="F747" s="29"/>
      <c r="L747" s="27">
        <v>66</v>
      </c>
      <c r="M747" s="27">
        <v>71.263999999999996</v>
      </c>
      <c r="N747" s="29"/>
      <c r="O747" s="29"/>
      <c r="P747" s="29"/>
      <c r="AC747" s="27">
        <v>5</v>
      </c>
      <c r="AH747" s="29"/>
      <c r="AI747" s="27">
        <v>5.3719999999999999</v>
      </c>
      <c r="AJ747" s="29"/>
      <c r="AL747" s="29"/>
      <c r="AM747" s="29"/>
      <c r="AN747" s="27">
        <v>5</v>
      </c>
      <c r="AO747" s="29"/>
      <c r="AP747" s="27">
        <v>4.617</v>
      </c>
      <c r="AQ747" s="29"/>
      <c r="AY747" s="27">
        <v>5</v>
      </c>
      <c r="BC747" s="29"/>
      <c r="BE747" s="29"/>
      <c r="BF747" s="27">
        <v>3.9430000000000001</v>
      </c>
      <c r="BG747" s="29"/>
      <c r="BK747" s="27">
        <v>2</v>
      </c>
      <c r="BL747" s="29"/>
      <c r="BM747" s="27">
        <v>4.2530000000000001</v>
      </c>
      <c r="BN747" s="29"/>
      <c r="BO747" s="29"/>
    </row>
    <row r="748" spans="1:72" s="27" customFormat="1" ht="20.25" customHeight="1" x14ac:dyDescent="0.45">
      <c r="A748" s="26"/>
      <c r="B748" s="28">
        <v>67</v>
      </c>
      <c r="E748" s="29"/>
      <c r="F748" s="29"/>
      <c r="H748" s="29"/>
      <c r="I748" s="27">
        <v>7.2329999999999997</v>
      </c>
      <c r="J748" s="27">
        <f>I749/I748</f>
        <v>0.63666528411447543</v>
      </c>
      <c r="L748" s="27">
        <v>67</v>
      </c>
      <c r="M748" s="29"/>
      <c r="N748" s="27">
        <v>9.6389999999999993</v>
      </c>
      <c r="O748" s="27">
        <f>N749/N748</f>
        <v>0.48874364560639078</v>
      </c>
      <c r="P748" s="29"/>
      <c r="AC748" s="27">
        <v>6</v>
      </c>
      <c r="AH748" s="27">
        <v>156.792</v>
      </c>
      <c r="AI748" s="29"/>
      <c r="AJ748" s="29"/>
      <c r="AL748" s="29"/>
      <c r="AM748" s="29"/>
      <c r="AN748" s="27">
        <v>6</v>
      </c>
      <c r="AO748" s="27">
        <v>78.004999999999995</v>
      </c>
      <c r="AP748" s="29"/>
      <c r="AQ748" s="29"/>
      <c r="AY748" s="27">
        <v>6</v>
      </c>
      <c r="BC748" s="29"/>
      <c r="BE748" s="27">
        <v>146.24299999999999</v>
      </c>
      <c r="BF748" s="29"/>
      <c r="BG748" s="29"/>
      <c r="BK748" s="27">
        <v>3</v>
      </c>
      <c r="BL748" s="27">
        <v>82.608999999999995</v>
      </c>
      <c r="BM748" s="29"/>
      <c r="BN748" s="29"/>
      <c r="BO748" s="29"/>
    </row>
    <row r="749" spans="1:72" s="27" customFormat="1" ht="20.25" customHeight="1" x14ac:dyDescent="0.45">
      <c r="A749" s="26"/>
      <c r="B749" s="28">
        <v>68</v>
      </c>
      <c r="E749" s="29"/>
      <c r="F749" s="29"/>
      <c r="H749" s="29"/>
      <c r="I749" s="27">
        <v>4.6050000000000004</v>
      </c>
      <c r="L749" s="27">
        <v>68</v>
      </c>
      <c r="M749" s="29"/>
      <c r="N749" s="27">
        <v>4.7110000000000003</v>
      </c>
      <c r="O749" s="29"/>
      <c r="P749" s="29"/>
      <c r="AC749" s="27">
        <v>7</v>
      </c>
      <c r="AH749" s="29"/>
      <c r="AI749" s="27">
        <v>9.0370000000000008</v>
      </c>
      <c r="AJ749" s="27">
        <f>AI750/AI749</f>
        <v>0.39969016266460106</v>
      </c>
      <c r="AL749" s="29"/>
      <c r="AM749" s="29"/>
      <c r="AN749" s="27">
        <v>7</v>
      </c>
      <c r="AT749" s="29"/>
      <c r="AU749" s="27">
        <v>9.4440000000000008</v>
      </c>
      <c r="AV749" s="27">
        <f>AU750/AU749</f>
        <v>0.43191444303261323</v>
      </c>
      <c r="AY749" s="27">
        <v>7</v>
      </c>
      <c r="BC749" s="29"/>
      <c r="BE749" s="29"/>
      <c r="BF749" s="27">
        <v>6.6189999999999998</v>
      </c>
      <c r="BG749" s="27">
        <f>BF750/BF749</f>
        <v>0.57924157727753445</v>
      </c>
      <c r="BK749" s="27">
        <v>4</v>
      </c>
      <c r="BO749" s="29"/>
      <c r="BR749" s="29"/>
      <c r="BS749" s="27">
        <v>8.1430000000000007</v>
      </c>
      <c r="BT749" s="27">
        <f>BS750/BS749</f>
        <v>0.50890335257276187</v>
      </c>
    </row>
    <row r="750" spans="1:72" s="27" customFormat="1" ht="20.25" customHeight="1" x14ac:dyDescent="0.45">
      <c r="A750" s="26"/>
      <c r="B750" s="28">
        <v>69</v>
      </c>
      <c r="E750" s="29"/>
      <c r="F750" s="29"/>
      <c r="H750" s="27">
        <v>139.297</v>
      </c>
      <c r="I750" s="29"/>
      <c r="L750" s="27">
        <v>69</v>
      </c>
      <c r="M750" s="27">
        <v>67.450999999999993</v>
      </c>
      <c r="N750" s="29"/>
      <c r="O750" s="29"/>
      <c r="P750" s="29"/>
      <c r="AC750" s="27">
        <v>8</v>
      </c>
      <c r="AH750" s="29"/>
      <c r="AI750" s="27">
        <v>3.6120000000000001</v>
      </c>
      <c r="AJ750" s="29"/>
      <c r="AL750" s="29"/>
      <c r="AM750" s="29"/>
      <c r="AN750" s="27">
        <v>8</v>
      </c>
      <c r="AT750" s="29"/>
      <c r="AU750" s="27">
        <v>4.0789999999999997</v>
      </c>
      <c r="AV750" s="29"/>
      <c r="AY750" s="27">
        <v>8</v>
      </c>
      <c r="BC750" s="29"/>
      <c r="BE750" s="29"/>
      <c r="BF750" s="27">
        <v>3.8340000000000001</v>
      </c>
      <c r="BG750" s="29"/>
      <c r="BK750" s="27">
        <v>5</v>
      </c>
      <c r="BO750" s="29"/>
      <c r="BR750" s="29"/>
      <c r="BS750" s="27">
        <v>4.1440000000000001</v>
      </c>
      <c r="BT750" s="29"/>
    </row>
    <row r="751" spans="1:72" s="27" customFormat="1" ht="20.25" customHeight="1" x14ac:dyDescent="0.45">
      <c r="A751" s="26"/>
      <c r="B751" s="28">
        <v>70</v>
      </c>
      <c r="E751" s="29"/>
      <c r="F751" s="29"/>
      <c r="H751" s="29"/>
      <c r="I751" s="27">
        <v>8.3919999999999995</v>
      </c>
      <c r="J751" s="27">
        <f>I752/I751</f>
        <v>0.52526215443279323</v>
      </c>
      <c r="L751" s="27">
        <v>70</v>
      </c>
      <c r="M751" s="29"/>
      <c r="N751" s="27">
        <v>7.9370000000000003</v>
      </c>
      <c r="O751" s="27">
        <f>N752/N751</f>
        <v>0.43996472218722438</v>
      </c>
      <c r="P751" s="29"/>
      <c r="AC751" s="27">
        <v>9</v>
      </c>
      <c r="AH751" s="27">
        <v>133.434</v>
      </c>
      <c r="AI751" s="29"/>
      <c r="AJ751" s="29"/>
      <c r="AL751" s="29"/>
      <c r="AM751" s="29"/>
      <c r="AN751" s="27">
        <v>9</v>
      </c>
      <c r="AT751" s="27">
        <v>171.904</v>
      </c>
      <c r="AU751" s="29"/>
      <c r="AV751" s="29"/>
      <c r="AY751" s="27">
        <v>9</v>
      </c>
      <c r="BC751" s="29"/>
      <c r="BE751" s="27">
        <v>115.137</v>
      </c>
      <c r="BF751" s="29"/>
      <c r="BG751" s="29"/>
      <c r="BK751" s="27">
        <v>6</v>
      </c>
      <c r="BO751" s="29"/>
      <c r="BR751" s="27">
        <v>165.02099999999999</v>
      </c>
      <c r="BS751" s="29"/>
      <c r="BT751" s="29"/>
    </row>
    <row r="752" spans="1:72" s="27" customFormat="1" ht="20.25" customHeight="1" x14ac:dyDescent="0.45">
      <c r="A752" s="26"/>
      <c r="B752" s="28">
        <v>71</v>
      </c>
      <c r="E752" s="29"/>
      <c r="F752" s="29"/>
      <c r="H752" s="29"/>
      <c r="I752" s="27">
        <v>4.4080000000000004</v>
      </c>
      <c r="L752" s="27">
        <v>71</v>
      </c>
      <c r="M752" s="29"/>
      <c r="N752" s="27">
        <v>3.492</v>
      </c>
      <c r="O752" s="29"/>
      <c r="P752" s="29"/>
      <c r="AC752" s="27">
        <v>10</v>
      </c>
      <c r="AH752" s="29"/>
      <c r="AI752" s="27">
        <v>10.964</v>
      </c>
      <c r="AJ752" s="27">
        <f>AI753/AI752</f>
        <v>0.49580445093031739</v>
      </c>
      <c r="AL752" s="29"/>
      <c r="AM752" s="27" t="s">
        <v>90</v>
      </c>
      <c r="AN752" s="27">
        <v>1</v>
      </c>
      <c r="AO752" s="29"/>
      <c r="AP752" s="27">
        <v>12.298</v>
      </c>
      <c r="AQ752" s="27">
        <f>AP753/AP752</f>
        <v>0.36225402504472271</v>
      </c>
      <c r="AX752" s="27" t="s">
        <v>89</v>
      </c>
      <c r="AY752" s="27">
        <v>1</v>
      </c>
      <c r="BC752" s="29"/>
      <c r="BE752" s="29"/>
      <c r="BF752" s="27">
        <v>10.682</v>
      </c>
      <c r="BG752" s="27">
        <f>BF753/BF752</f>
        <v>0.41555888410410036</v>
      </c>
      <c r="BK752" s="27">
        <v>7</v>
      </c>
      <c r="BO752" s="29"/>
      <c r="BR752" s="29"/>
      <c r="BS752" s="27">
        <v>5.8239999999999998</v>
      </c>
      <c r="BT752" s="27">
        <f>BS753/BS752</f>
        <v>0.70913461538461542</v>
      </c>
    </row>
    <row r="753" spans="1:72" s="27" customFormat="1" ht="20.25" customHeight="1" x14ac:dyDescent="0.45">
      <c r="A753" s="26"/>
      <c r="B753" s="28">
        <v>72</v>
      </c>
      <c r="E753" s="29"/>
      <c r="F753" s="29"/>
      <c r="H753" s="27">
        <v>106.271</v>
      </c>
      <c r="I753" s="29"/>
      <c r="L753" s="27">
        <v>72</v>
      </c>
      <c r="M753" s="27">
        <v>67.55</v>
      </c>
      <c r="N753" s="29"/>
      <c r="O753" s="29"/>
      <c r="P753" s="29"/>
      <c r="AC753" s="27">
        <v>11</v>
      </c>
      <c r="AH753" s="29"/>
      <c r="AI753" s="27">
        <v>5.4359999999999999</v>
      </c>
      <c r="AJ753" s="29"/>
      <c r="AL753" s="29"/>
      <c r="AM753" s="29"/>
      <c r="AN753" s="27">
        <v>2</v>
      </c>
      <c r="AO753" s="29"/>
      <c r="AP753" s="27">
        <v>4.4550000000000001</v>
      </c>
      <c r="AQ753" s="29"/>
      <c r="AY753" s="27">
        <v>2</v>
      </c>
      <c r="BC753" s="29"/>
      <c r="BE753" s="29"/>
      <c r="BF753" s="27">
        <v>4.4390000000000001</v>
      </c>
      <c r="BG753" s="29"/>
      <c r="BK753" s="27">
        <v>8</v>
      </c>
      <c r="BO753" s="29"/>
      <c r="BR753" s="29"/>
      <c r="BS753" s="27">
        <v>4.13</v>
      </c>
      <c r="BT753" s="29"/>
    </row>
    <row r="754" spans="1:72" s="27" customFormat="1" ht="20.25" customHeight="1" x14ac:dyDescent="0.45">
      <c r="A754" s="26"/>
      <c r="B754" s="28">
        <v>73</v>
      </c>
      <c r="E754" s="29"/>
      <c r="F754" s="29"/>
      <c r="H754" s="29"/>
      <c r="I754" s="27">
        <v>6.7320000000000002</v>
      </c>
      <c r="J754" s="27">
        <f>I755/I754</f>
        <v>0.64691027926322053</v>
      </c>
      <c r="L754" s="27">
        <v>73</v>
      </c>
      <c r="O754" s="29"/>
      <c r="P754" s="29"/>
      <c r="R754" s="29"/>
      <c r="S754" s="27">
        <v>8.5839999999999996</v>
      </c>
      <c r="T754" s="27">
        <f>S755/S754</f>
        <v>0.36731127679403541</v>
      </c>
      <c r="AC754" s="27">
        <v>12</v>
      </c>
      <c r="AH754" s="27">
        <v>145.81399999999999</v>
      </c>
      <c r="AI754" s="29"/>
      <c r="AJ754" s="29"/>
      <c r="AL754" s="29"/>
      <c r="AM754" s="29"/>
      <c r="AN754" s="27">
        <v>3</v>
      </c>
      <c r="AO754" s="27">
        <v>67.637</v>
      </c>
      <c r="AP754" s="29"/>
      <c r="AQ754" s="29"/>
      <c r="AY754" s="27">
        <v>3</v>
      </c>
      <c r="BC754" s="29"/>
      <c r="BE754" s="27">
        <v>125.94799999999999</v>
      </c>
      <c r="BF754" s="29"/>
      <c r="BG754" s="29"/>
      <c r="BK754" s="27">
        <v>9</v>
      </c>
      <c r="BO754" s="29"/>
      <c r="BR754" s="27">
        <v>112.32</v>
      </c>
      <c r="BS754" s="29"/>
      <c r="BT754" s="29"/>
    </row>
    <row r="755" spans="1:72" s="27" customFormat="1" ht="20.25" customHeight="1" x14ac:dyDescent="0.45">
      <c r="A755" s="26"/>
      <c r="B755" s="28">
        <v>74</v>
      </c>
      <c r="E755" s="29"/>
      <c r="F755" s="29"/>
      <c r="H755" s="29"/>
      <c r="I755" s="27">
        <v>4.3550000000000004</v>
      </c>
      <c r="L755" s="27">
        <v>74</v>
      </c>
      <c r="O755" s="29"/>
      <c r="P755" s="29"/>
      <c r="R755" s="29"/>
      <c r="S755" s="27">
        <v>3.153</v>
      </c>
      <c r="AC755" s="27">
        <v>13</v>
      </c>
      <c r="AD755" s="29"/>
      <c r="AE755" s="27">
        <v>13.311999999999999</v>
      </c>
      <c r="AF755" s="27">
        <f>AE756/AE755</f>
        <v>0.34990985576923084</v>
      </c>
      <c r="AL755" s="29"/>
      <c r="AM755" s="27" t="s">
        <v>84</v>
      </c>
      <c r="AN755" s="27">
        <v>1</v>
      </c>
      <c r="AO755" s="29"/>
      <c r="AP755" s="27">
        <v>11.019</v>
      </c>
      <c r="AQ755" s="27">
        <f>AP756/AP755</f>
        <v>0.41909429167801071</v>
      </c>
      <c r="AY755" s="27">
        <v>4</v>
      </c>
      <c r="BC755" s="29"/>
      <c r="BE755" s="29"/>
      <c r="BF755" s="27">
        <v>9.7439999999999998</v>
      </c>
      <c r="BG755" s="27">
        <f>BF756/BF755</f>
        <v>0.63126026272577995</v>
      </c>
      <c r="BK755" s="27">
        <v>10</v>
      </c>
      <c r="BO755" s="29"/>
      <c r="BR755" s="29"/>
      <c r="BS755" s="27">
        <v>6.12</v>
      </c>
      <c r="BT755" s="27">
        <f>BS756/BS755</f>
        <v>0.68316993464052289</v>
      </c>
    </row>
    <row r="756" spans="1:72" s="27" customFormat="1" ht="20.25" customHeight="1" x14ac:dyDescent="0.45">
      <c r="A756" s="26"/>
      <c r="B756" s="28">
        <v>75</v>
      </c>
      <c r="E756" s="29"/>
      <c r="F756" s="29"/>
      <c r="H756" s="27">
        <v>90.094999999999999</v>
      </c>
      <c r="I756" s="29"/>
      <c r="L756" s="27">
        <v>75</v>
      </c>
      <c r="O756" s="29"/>
      <c r="P756" s="29"/>
      <c r="R756" s="27">
        <v>156.47800000000001</v>
      </c>
      <c r="S756" s="29"/>
      <c r="AC756" s="27">
        <v>14</v>
      </c>
      <c r="AD756" s="29"/>
      <c r="AE756" s="27">
        <v>4.6580000000000004</v>
      </c>
      <c r="AF756" s="29"/>
      <c r="AL756" s="29"/>
      <c r="AM756" s="29"/>
      <c r="AN756" s="27">
        <v>2</v>
      </c>
      <c r="AO756" s="29"/>
      <c r="AP756" s="27">
        <v>4.6180000000000003</v>
      </c>
      <c r="AQ756" s="29"/>
      <c r="AY756" s="27">
        <v>5</v>
      </c>
      <c r="BC756" s="29"/>
      <c r="BE756" s="29"/>
      <c r="BF756" s="27">
        <v>6.1509999999999998</v>
      </c>
      <c r="BG756" s="29"/>
      <c r="BK756" s="27">
        <v>11</v>
      </c>
      <c r="BO756" s="29"/>
      <c r="BR756" s="29"/>
      <c r="BS756" s="27">
        <v>4.181</v>
      </c>
      <c r="BT756" s="29"/>
    </row>
    <row r="757" spans="1:72" s="27" customFormat="1" ht="20.25" customHeight="1" x14ac:dyDescent="0.45">
      <c r="A757" s="26"/>
      <c r="B757" s="28">
        <v>76</v>
      </c>
      <c r="C757" s="29"/>
      <c r="D757" s="27">
        <v>7.57</v>
      </c>
      <c r="E757" s="27">
        <f>D758/D757</f>
        <v>0.46023778071334215</v>
      </c>
      <c r="F757" s="29"/>
      <c r="L757" s="27">
        <v>76</v>
      </c>
      <c r="M757" s="29"/>
      <c r="N757" s="27">
        <v>8.6140000000000008</v>
      </c>
      <c r="O757" s="27">
        <f>N758/N757</f>
        <v>0.4799164151381472</v>
      </c>
      <c r="P757" s="29"/>
      <c r="AC757" s="27">
        <v>15</v>
      </c>
      <c r="AD757" s="27">
        <v>74.825000000000003</v>
      </c>
      <c r="AE757" s="29"/>
      <c r="AF757" s="29"/>
      <c r="AL757" s="29"/>
      <c r="AM757" s="29"/>
      <c r="AN757" s="27">
        <v>3</v>
      </c>
      <c r="AO757" s="27">
        <v>80.481999999999999</v>
      </c>
      <c r="AP757" s="29"/>
      <c r="AQ757" s="29"/>
      <c r="AY757" s="27">
        <v>6</v>
      </c>
      <c r="BC757" s="29"/>
      <c r="BE757" s="27">
        <v>177.53700000000001</v>
      </c>
      <c r="BF757" s="29"/>
      <c r="BG757" s="29"/>
      <c r="BK757" s="27">
        <v>12</v>
      </c>
      <c r="BO757" s="29"/>
      <c r="BR757" s="27">
        <v>146.34</v>
      </c>
      <c r="BS757" s="29"/>
      <c r="BT757" s="29"/>
    </row>
    <row r="758" spans="1:72" s="27" customFormat="1" ht="20.25" customHeight="1" x14ac:dyDescent="0.45">
      <c r="A758" s="26"/>
      <c r="B758" s="28">
        <v>77</v>
      </c>
      <c r="C758" s="29"/>
      <c r="D758" s="27">
        <v>3.484</v>
      </c>
      <c r="E758" s="29"/>
      <c r="F758" s="29"/>
      <c r="L758" s="27">
        <v>77</v>
      </c>
      <c r="M758" s="29"/>
      <c r="N758" s="27">
        <v>4.1340000000000003</v>
      </c>
      <c r="O758" s="29"/>
      <c r="P758" s="29"/>
      <c r="AB758" s="32" t="s">
        <v>90</v>
      </c>
      <c r="AC758" s="27">
        <v>1</v>
      </c>
      <c r="AH758" s="29"/>
      <c r="AI758" s="27">
        <v>13.13</v>
      </c>
      <c r="AJ758" s="27">
        <f>AI759/AI758</f>
        <v>0.43015993907083011</v>
      </c>
      <c r="AL758" s="29"/>
      <c r="AM758" s="29"/>
      <c r="AN758" s="27">
        <v>4</v>
      </c>
      <c r="AO758" s="29"/>
      <c r="AP758" s="27">
        <v>9.2639999999999993</v>
      </c>
      <c r="AQ758" s="27">
        <f>AP759/AP758</f>
        <v>0.54965457685664942</v>
      </c>
      <c r="AX758" s="27" t="s">
        <v>71</v>
      </c>
      <c r="AY758" s="27">
        <v>1</v>
      </c>
      <c r="BC758" s="29"/>
      <c r="BE758" s="29"/>
      <c r="BF758" s="27">
        <v>9.7200000000000006</v>
      </c>
      <c r="BG758" s="27">
        <f>BF759/BF758</f>
        <v>0.58755144032921813</v>
      </c>
      <c r="BJ758" s="27" t="s">
        <v>71</v>
      </c>
      <c r="BK758" s="27">
        <v>1</v>
      </c>
      <c r="BO758" s="29"/>
      <c r="BR758" s="29"/>
      <c r="BS758" s="27">
        <v>6.8959999999999999</v>
      </c>
      <c r="BT758" s="27">
        <f>BS759/BS758</f>
        <v>0.47389791183294661</v>
      </c>
    </row>
    <row r="759" spans="1:72" s="27" customFormat="1" ht="20.25" customHeight="1" x14ac:dyDescent="0.45">
      <c r="A759" s="26"/>
      <c r="B759" s="28">
        <v>78</v>
      </c>
      <c r="C759" s="27">
        <v>32.338999999999999</v>
      </c>
      <c r="D759" s="29"/>
      <c r="E759" s="29"/>
      <c r="F759" s="29"/>
      <c r="L759" s="27">
        <v>78</v>
      </c>
      <c r="M759" s="27">
        <v>61.951999999999998</v>
      </c>
      <c r="N759" s="29"/>
      <c r="O759" s="29"/>
      <c r="P759" s="29"/>
      <c r="AC759" s="27">
        <v>2</v>
      </c>
      <c r="AH759" s="29"/>
      <c r="AI759" s="27">
        <v>5.6479999999999997</v>
      </c>
      <c r="AJ759" s="29"/>
      <c r="AL759" s="29"/>
      <c r="AM759" s="29"/>
      <c r="AN759" s="27">
        <v>5</v>
      </c>
      <c r="AO759" s="29"/>
      <c r="AP759" s="27">
        <v>5.0919999999999996</v>
      </c>
      <c r="AQ759" s="29"/>
      <c r="AY759" s="27">
        <v>2</v>
      </c>
      <c r="BC759" s="29"/>
      <c r="BE759" s="29"/>
      <c r="BF759" s="27">
        <v>5.7110000000000003</v>
      </c>
      <c r="BG759" s="29"/>
      <c r="BK759" s="27">
        <v>2</v>
      </c>
      <c r="BO759" s="29"/>
      <c r="BR759" s="29"/>
      <c r="BS759" s="27">
        <v>3.2679999999999998</v>
      </c>
      <c r="BT759" s="29"/>
    </row>
    <row r="760" spans="1:72" s="27" customFormat="1" ht="20.25" customHeight="1" x14ac:dyDescent="0.45">
      <c r="A760" s="26"/>
      <c r="B760" s="28">
        <v>79</v>
      </c>
      <c r="E760" s="29"/>
      <c r="F760" s="29"/>
      <c r="H760" s="29"/>
      <c r="I760" s="27">
        <v>9.1379999999999999</v>
      </c>
      <c r="J760" s="27">
        <f>I761/I760</f>
        <v>0.46016633836725762</v>
      </c>
      <c r="L760" s="27">
        <v>79</v>
      </c>
      <c r="O760" s="29"/>
      <c r="P760" s="29"/>
      <c r="R760" s="29"/>
      <c r="S760" s="27">
        <v>8.4789999999999992</v>
      </c>
      <c r="T760" s="27">
        <f>S761/S760</f>
        <v>0.42882415379172079</v>
      </c>
      <c r="AC760" s="27">
        <v>3</v>
      </c>
      <c r="AH760" s="27">
        <v>174.70099999999999</v>
      </c>
      <c r="AI760" s="29"/>
      <c r="AJ760" s="29"/>
      <c r="AL760" s="29"/>
      <c r="AM760" s="29"/>
      <c r="AN760" s="27">
        <v>6</v>
      </c>
      <c r="AO760" s="27">
        <v>45.137999999999998</v>
      </c>
      <c r="AP760" s="29"/>
      <c r="AQ760" s="29"/>
      <c r="AY760" s="27">
        <v>3</v>
      </c>
      <c r="BC760" s="29"/>
      <c r="BE760" s="27">
        <v>128.423</v>
      </c>
      <c r="BF760" s="29"/>
      <c r="BG760" s="29"/>
      <c r="BK760" s="27">
        <v>3</v>
      </c>
      <c r="BO760" s="29"/>
      <c r="BR760" s="27">
        <v>170.46299999999999</v>
      </c>
      <c r="BS760" s="29"/>
      <c r="BT760" s="29"/>
    </row>
    <row r="761" spans="1:72" s="27" customFormat="1" ht="20.25" customHeight="1" x14ac:dyDescent="0.45">
      <c r="A761" s="26"/>
      <c r="B761" s="28">
        <v>80</v>
      </c>
      <c r="E761" s="29"/>
      <c r="F761" s="29"/>
      <c r="H761" s="29"/>
      <c r="I761" s="27">
        <v>4.2050000000000001</v>
      </c>
      <c r="L761" s="27">
        <v>80</v>
      </c>
      <c r="O761" s="29"/>
      <c r="P761" s="29"/>
      <c r="R761" s="29"/>
      <c r="S761" s="27">
        <v>3.6360000000000001</v>
      </c>
      <c r="AC761" s="27">
        <v>4</v>
      </c>
      <c r="AH761" s="29"/>
      <c r="AI761" s="27">
        <v>7.1280000000000001</v>
      </c>
      <c r="AJ761" s="27">
        <f>AI762/AI761</f>
        <v>0.50462962962962965</v>
      </c>
      <c r="AL761" s="29"/>
      <c r="AM761" s="27" t="s">
        <v>91</v>
      </c>
      <c r="AN761" s="27">
        <v>1</v>
      </c>
      <c r="AO761" s="29"/>
      <c r="AP761" s="27">
        <v>13.673</v>
      </c>
      <c r="AQ761" s="27">
        <f>AP762/AP761</f>
        <v>0.25444306297081842</v>
      </c>
      <c r="AY761" s="27">
        <v>4</v>
      </c>
      <c r="BC761" s="29"/>
      <c r="BE761" s="29"/>
      <c r="BF761" s="27">
        <v>7.6820000000000004</v>
      </c>
      <c r="BG761" s="27">
        <f>BF762/BF761</f>
        <v>0.59411611559489719</v>
      </c>
      <c r="BK761" s="27">
        <v>4</v>
      </c>
      <c r="BL761" s="29"/>
      <c r="BM761" s="27">
        <v>8.1479999999999997</v>
      </c>
      <c r="BN761" s="27">
        <f>BM762/BM761</f>
        <v>0.41494845360824739</v>
      </c>
      <c r="BO761" s="29"/>
    </row>
    <row r="762" spans="1:72" s="27" customFormat="1" ht="20.25" customHeight="1" x14ac:dyDescent="0.45">
      <c r="A762" s="26"/>
      <c r="B762" s="28">
        <v>81</v>
      </c>
      <c r="E762" s="29"/>
      <c r="F762" s="29"/>
      <c r="H762" s="27">
        <v>95.481999999999999</v>
      </c>
      <c r="I762" s="29"/>
      <c r="L762" s="27">
        <v>81</v>
      </c>
      <c r="O762" s="29"/>
      <c r="P762" s="29"/>
      <c r="R762" s="27">
        <v>127.85299999999999</v>
      </c>
      <c r="S762" s="29"/>
      <c r="AC762" s="27">
        <v>5</v>
      </c>
      <c r="AH762" s="29"/>
      <c r="AI762" s="27">
        <v>3.597</v>
      </c>
      <c r="AJ762" s="29"/>
      <c r="AL762" s="29"/>
      <c r="AM762" s="29"/>
      <c r="AN762" s="27">
        <v>2</v>
      </c>
      <c r="AO762" s="29"/>
      <c r="AP762" s="27">
        <v>3.4790000000000001</v>
      </c>
      <c r="AQ762" s="29"/>
      <c r="AY762" s="27">
        <v>5</v>
      </c>
      <c r="BC762" s="29"/>
      <c r="BE762" s="29"/>
      <c r="BF762" s="27">
        <v>4.5640000000000001</v>
      </c>
      <c r="BG762" s="29"/>
      <c r="BK762" s="27">
        <v>5</v>
      </c>
      <c r="BL762" s="29"/>
      <c r="BM762" s="27">
        <v>3.3809999999999998</v>
      </c>
      <c r="BN762" s="29"/>
      <c r="BO762" s="29"/>
    </row>
    <row r="763" spans="1:72" s="27" customFormat="1" ht="20.25" customHeight="1" x14ac:dyDescent="0.45">
      <c r="A763" s="26"/>
      <c r="B763" s="28">
        <v>82</v>
      </c>
      <c r="E763" s="29"/>
      <c r="F763" s="29"/>
      <c r="H763" s="29"/>
      <c r="I763" s="27">
        <v>10.48</v>
      </c>
      <c r="J763" s="27">
        <f>I764/I763</f>
        <v>0.44103053435114503</v>
      </c>
      <c r="L763" s="27">
        <v>82</v>
      </c>
      <c r="O763" s="29"/>
      <c r="P763" s="29"/>
      <c r="R763" s="29"/>
      <c r="S763" s="27">
        <v>10.018000000000001</v>
      </c>
      <c r="T763" s="27">
        <f>S764/S763</f>
        <v>0.43242164104611697</v>
      </c>
      <c r="AC763" s="27">
        <v>6</v>
      </c>
      <c r="AH763" s="27">
        <v>167.989</v>
      </c>
      <c r="AI763" s="29"/>
      <c r="AJ763" s="29"/>
      <c r="AL763" s="29"/>
      <c r="AM763" s="29"/>
      <c r="AN763" s="27">
        <v>3</v>
      </c>
      <c r="AO763" s="27">
        <v>60.085999999999999</v>
      </c>
      <c r="AP763" s="29"/>
      <c r="AQ763" s="29"/>
      <c r="AY763" s="27">
        <v>6</v>
      </c>
      <c r="BC763" s="29"/>
      <c r="BE763" s="27">
        <v>101.372</v>
      </c>
      <c r="BF763" s="29"/>
      <c r="BG763" s="29"/>
      <c r="BK763" s="27">
        <v>6</v>
      </c>
      <c r="BL763" s="27">
        <v>42.185000000000002</v>
      </c>
      <c r="BM763" s="29"/>
      <c r="BN763" s="29"/>
      <c r="BO763" s="29"/>
    </row>
    <row r="764" spans="1:72" s="27" customFormat="1" ht="20.25" customHeight="1" x14ac:dyDescent="0.45">
      <c r="A764" s="26"/>
      <c r="B764" s="28">
        <v>83</v>
      </c>
      <c r="E764" s="29"/>
      <c r="F764" s="29"/>
      <c r="H764" s="29"/>
      <c r="I764" s="27">
        <v>4.6219999999999999</v>
      </c>
      <c r="L764" s="27">
        <v>83</v>
      </c>
      <c r="O764" s="29"/>
      <c r="P764" s="29"/>
      <c r="R764" s="29"/>
      <c r="S764" s="27">
        <v>4.3319999999999999</v>
      </c>
      <c r="AC764" s="27">
        <v>7</v>
      </c>
      <c r="AH764" s="29"/>
      <c r="AI764" s="27">
        <v>9.4640000000000004</v>
      </c>
      <c r="AJ764" s="27">
        <f>AI765/AI764</f>
        <v>0.43734150464919697</v>
      </c>
      <c r="AL764" s="29"/>
      <c r="AM764" s="29"/>
      <c r="AN764" s="27">
        <v>4</v>
      </c>
      <c r="AO764" s="29"/>
      <c r="AP764" s="27">
        <v>11.154999999999999</v>
      </c>
      <c r="AQ764" s="27">
        <f>AP765/AP764</f>
        <v>0.43711340206185573</v>
      </c>
      <c r="AY764" s="27">
        <v>7</v>
      </c>
      <c r="BC764" s="29"/>
      <c r="BE764" s="29"/>
      <c r="BF764" s="27">
        <v>7.2050000000000001</v>
      </c>
      <c r="BG764" s="27">
        <f>BF765/BF764</f>
        <v>0.77265787647467044</v>
      </c>
      <c r="BJ764" s="27" t="s">
        <v>92</v>
      </c>
      <c r="BK764" s="27">
        <v>1</v>
      </c>
      <c r="BL764" s="29"/>
      <c r="BM764" s="27">
        <v>12.317</v>
      </c>
      <c r="BN764" s="27">
        <f>BM765/BM764</f>
        <v>0.34618819517739713</v>
      </c>
      <c r="BO764" s="29"/>
    </row>
    <row r="765" spans="1:72" s="27" customFormat="1" ht="20.25" customHeight="1" x14ac:dyDescent="0.45">
      <c r="A765" s="26"/>
      <c r="B765" s="28">
        <v>84</v>
      </c>
      <c r="E765" s="29"/>
      <c r="F765" s="29"/>
      <c r="H765" s="27">
        <v>122.643</v>
      </c>
      <c r="I765" s="29"/>
      <c r="L765" s="27">
        <v>84</v>
      </c>
      <c r="O765" s="29"/>
      <c r="P765" s="29"/>
      <c r="R765" s="27">
        <v>135.90799999999999</v>
      </c>
      <c r="S765" s="29"/>
      <c r="AC765" s="27">
        <v>8</v>
      </c>
      <c r="AH765" s="29"/>
      <c r="AI765" s="27">
        <v>4.1390000000000002</v>
      </c>
      <c r="AJ765" s="29"/>
      <c r="AL765" s="29"/>
      <c r="AM765" s="29"/>
      <c r="AN765" s="27">
        <v>5</v>
      </c>
      <c r="AO765" s="29"/>
      <c r="AP765" s="27">
        <v>4.8760000000000003</v>
      </c>
      <c r="AQ765" s="29"/>
      <c r="AY765" s="27">
        <v>8</v>
      </c>
      <c r="BC765" s="29"/>
      <c r="BE765" s="29"/>
      <c r="BF765" s="27">
        <v>5.5670000000000002</v>
      </c>
      <c r="BG765" s="29"/>
      <c r="BK765" s="27">
        <v>2</v>
      </c>
      <c r="BL765" s="29"/>
      <c r="BM765" s="27">
        <v>4.2640000000000002</v>
      </c>
      <c r="BN765" s="29"/>
      <c r="BO765" s="29"/>
    </row>
    <row r="766" spans="1:72" s="27" customFormat="1" ht="20.25" customHeight="1" x14ac:dyDescent="0.45">
      <c r="A766" s="26"/>
      <c r="B766" s="28">
        <v>85</v>
      </c>
      <c r="C766" s="29"/>
      <c r="D766" s="27">
        <v>9.0039999999999996</v>
      </c>
      <c r="E766" s="27">
        <f>D767/D766</f>
        <v>0.36639271434917814</v>
      </c>
      <c r="F766" s="29"/>
      <c r="L766" s="27">
        <v>85</v>
      </c>
      <c r="M766" s="29"/>
      <c r="N766" s="27">
        <v>6.9690000000000003</v>
      </c>
      <c r="O766" s="27">
        <f>N767/N766</f>
        <v>0.72420720332902844</v>
      </c>
      <c r="P766" s="29"/>
      <c r="AC766" s="27">
        <v>9</v>
      </c>
      <c r="AH766" s="27">
        <v>86.247</v>
      </c>
      <c r="AI766" s="29"/>
      <c r="AJ766" s="29"/>
      <c r="AL766" s="29"/>
      <c r="AM766" s="29"/>
      <c r="AN766" s="27">
        <v>6</v>
      </c>
      <c r="AO766" s="27">
        <v>88.941999999999993</v>
      </c>
      <c r="AP766" s="29"/>
      <c r="AQ766" s="29"/>
      <c r="AY766" s="27">
        <v>9</v>
      </c>
      <c r="BC766" s="29"/>
      <c r="BE766" s="27">
        <v>132.28899999999999</v>
      </c>
      <c r="BF766" s="29"/>
      <c r="BG766" s="29"/>
      <c r="BK766" s="27">
        <v>3</v>
      </c>
      <c r="BL766" s="27">
        <v>82.828000000000003</v>
      </c>
      <c r="BM766" s="29"/>
      <c r="BN766" s="29"/>
      <c r="BO766" s="29"/>
    </row>
    <row r="767" spans="1:72" s="27" customFormat="1" ht="20.25" customHeight="1" x14ac:dyDescent="0.45">
      <c r="A767" s="26"/>
      <c r="B767" s="28">
        <v>86</v>
      </c>
      <c r="C767" s="29"/>
      <c r="D767" s="27">
        <v>3.2989999999999999</v>
      </c>
      <c r="E767" s="29"/>
      <c r="F767" s="29"/>
      <c r="L767" s="27">
        <v>86</v>
      </c>
      <c r="M767" s="29"/>
      <c r="N767" s="27">
        <v>5.0469999999999997</v>
      </c>
      <c r="O767" s="29"/>
      <c r="P767" s="29"/>
      <c r="AC767" s="27">
        <v>10</v>
      </c>
      <c r="AH767" s="29"/>
      <c r="AI767" s="27">
        <v>5.452</v>
      </c>
      <c r="AJ767" s="27">
        <f>AI768/AI767</f>
        <v>0.49101247248716068</v>
      </c>
      <c r="AL767" s="29"/>
      <c r="AM767" s="29"/>
      <c r="AN767" s="27">
        <v>7</v>
      </c>
      <c r="AT767" s="29"/>
      <c r="AU767" s="27">
        <v>9.1370000000000005</v>
      </c>
      <c r="AV767" s="27">
        <f>AU768/AU767</f>
        <v>0.53365437233227542</v>
      </c>
      <c r="AY767" s="27">
        <v>10</v>
      </c>
      <c r="AZ767" s="29"/>
      <c r="BA767" s="27">
        <v>6.1820000000000004</v>
      </c>
      <c r="BB767" s="27">
        <f>BA768/BA767</f>
        <v>0.95519249433840181</v>
      </c>
      <c r="BC767" s="29"/>
      <c r="BK767" s="27">
        <v>4</v>
      </c>
      <c r="BL767" s="29"/>
      <c r="BM767" s="27">
        <v>10.327</v>
      </c>
      <c r="BN767" s="27">
        <f>BM768/BM767</f>
        <v>0.38985184467899681</v>
      </c>
      <c r="BO767" s="29"/>
    </row>
    <row r="768" spans="1:72" s="27" customFormat="1" ht="20.25" customHeight="1" x14ac:dyDescent="0.45">
      <c r="A768" s="26"/>
      <c r="B768" s="28">
        <v>87</v>
      </c>
      <c r="C768" s="27">
        <v>51.999000000000002</v>
      </c>
      <c r="D768" s="29"/>
      <c r="E768" s="29"/>
      <c r="F768" s="29"/>
      <c r="L768" s="27">
        <v>87</v>
      </c>
      <c r="M768" s="27">
        <v>69.385999999999996</v>
      </c>
      <c r="N768" s="29"/>
      <c r="O768" s="29"/>
      <c r="P768" s="29"/>
      <c r="AC768" s="27">
        <v>11</v>
      </c>
      <c r="AH768" s="29"/>
      <c r="AI768" s="27">
        <v>2.677</v>
      </c>
      <c r="AJ768" s="29"/>
      <c r="AL768" s="29"/>
      <c r="AM768" s="29"/>
      <c r="AN768" s="27">
        <v>8</v>
      </c>
      <c r="AT768" s="29"/>
      <c r="AU768" s="27">
        <v>4.8760000000000003</v>
      </c>
      <c r="AV768" s="29"/>
      <c r="AY768" s="27">
        <v>11</v>
      </c>
      <c r="AZ768" s="29"/>
      <c r="BA768" s="27">
        <v>5.9050000000000002</v>
      </c>
      <c r="BB768" s="29"/>
      <c r="BC768" s="29"/>
      <c r="BK768" s="27">
        <v>5</v>
      </c>
      <c r="BL768" s="29"/>
      <c r="BM768" s="27">
        <v>4.0259999999999998</v>
      </c>
      <c r="BN768" s="29"/>
      <c r="BO768" s="29"/>
    </row>
    <row r="769" spans="1:72" s="27" customFormat="1" ht="20.25" customHeight="1" x14ac:dyDescent="0.45">
      <c r="A769" s="26"/>
      <c r="B769" s="28">
        <v>88</v>
      </c>
      <c r="E769" s="29"/>
      <c r="F769" s="29"/>
      <c r="H769" s="29"/>
      <c r="I769" s="27">
        <v>8.59</v>
      </c>
      <c r="J769" s="27">
        <f>I770/I769</f>
        <v>0.48707799767171134</v>
      </c>
      <c r="L769" s="27">
        <v>88</v>
      </c>
      <c r="M769" s="29"/>
      <c r="N769" s="27">
        <v>9.5419999999999998</v>
      </c>
      <c r="O769" s="27">
        <f>N770/N769</f>
        <v>0.45504087193460485</v>
      </c>
      <c r="P769" s="29"/>
      <c r="AC769" s="27">
        <v>12</v>
      </c>
      <c r="AH769" s="27">
        <v>146.02099999999999</v>
      </c>
      <c r="AI769" s="29"/>
      <c r="AJ769" s="29"/>
      <c r="AL769" s="29"/>
      <c r="AM769" s="29"/>
      <c r="AN769" s="27">
        <v>9</v>
      </c>
      <c r="AT769" s="27">
        <v>122.55800000000001</v>
      </c>
      <c r="AU769" s="29"/>
      <c r="AV769" s="29"/>
      <c r="AY769" s="27">
        <v>12</v>
      </c>
      <c r="AZ769" s="27">
        <v>83.61</v>
      </c>
      <c r="BA769" s="29"/>
      <c r="BB769" s="29"/>
      <c r="BC769" s="29"/>
      <c r="BK769" s="27">
        <v>6</v>
      </c>
      <c r="BL769" s="27">
        <v>76.930000000000007</v>
      </c>
      <c r="BM769" s="29"/>
      <c r="BN769" s="29"/>
      <c r="BO769" s="29"/>
    </row>
    <row r="770" spans="1:72" s="27" customFormat="1" ht="20.25" customHeight="1" x14ac:dyDescent="0.45">
      <c r="A770" s="26"/>
      <c r="B770" s="28">
        <v>89</v>
      </c>
      <c r="E770" s="29"/>
      <c r="F770" s="29"/>
      <c r="H770" s="29"/>
      <c r="I770" s="27">
        <v>4.1840000000000002</v>
      </c>
      <c r="L770" s="27">
        <v>89</v>
      </c>
      <c r="M770" s="29"/>
      <c r="N770" s="27">
        <v>4.3419999999999996</v>
      </c>
      <c r="O770" s="29"/>
      <c r="P770" s="29"/>
      <c r="AC770" s="27">
        <v>13</v>
      </c>
      <c r="AH770" s="29"/>
      <c r="AI770" s="27">
        <v>7.4089999999999998</v>
      </c>
      <c r="AJ770" s="27">
        <f>AI771/AI770</f>
        <v>0.49021460386017007</v>
      </c>
      <c r="AL770" s="29"/>
      <c r="AM770" s="27" t="s">
        <v>86</v>
      </c>
      <c r="AN770" s="27">
        <v>1</v>
      </c>
      <c r="AO770" s="29"/>
      <c r="AP770" s="27">
        <v>9.0739999999999998</v>
      </c>
      <c r="AQ770" s="27">
        <f>AP771/AP770</f>
        <v>0.68701785320696496</v>
      </c>
      <c r="AY770" s="27">
        <v>13</v>
      </c>
      <c r="BC770" s="29"/>
      <c r="BE770" s="29"/>
      <c r="BF770" s="27">
        <v>5.7779999999999996</v>
      </c>
      <c r="BG770" s="27">
        <f>BF771/BF770</f>
        <v>0.81273797161647632</v>
      </c>
      <c r="BJ770" s="27" t="s">
        <v>83</v>
      </c>
      <c r="BK770" s="27">
        <v>1</v>
      </c>
      <c r="BO770" s="29"/>
      <c r="BR770" s="29"/>
      <c r="BS770" s="27">
        <v>8.1780000000000008</v>
      </c>
      <c r="BT770" s="27">
        <f>BS771/BS770</f>
        <v>0.43775984348251401</v>
      </c>
    </row>
    <row r="771" spans="1:72" s="27" customFormat="1" ht="20.25" customHeight="1" x14ac:dyDescent="0.45">
      <c r="A771" s="26"/>
      <c r="B771" s="28">
        <v>90</v>
      </c>
      <c r="E771" s="29"/>
      <c r="F771" s="29"/>
      <c r="H771" s="27">
        <v>177.041</v>
      </c>
      <c r="I771" s="29"/>
      <c r="L771" s="27">
        <v>90</v>
      </c>
      <c r="M771" s="27">
        <v>82.662999999999997</v>
      </c>
      <c r="N771" s="29"/>
      <c r="O771" s="29"/>
      <c r="P771" s="29"/>
      <c r="AC771" s="27">
        <v>14</v>
      </c>
      <c r="AH771" s="29"/>
      <c r="AI771" s="27">
        <v>3.6320000000000001</v>
      </c>
      <c r="AJ771" s="29"/>
      <c r="AL771" s="29"/>
      <c r="AM771" s="29"/>
      <c r="AN771" s="27">
        <v>2</v>
      </c>
      <c r="AO771" s="29"/>
      <c r="AP771" s="27">
        <v>6.234</v>
      </c>
      <c r="AQ771" s="29"/>
      <c r="AY771" s="27">
        <v>14</v>
      </c>
      <c r="BC771" s="29"/>
      <c r="BE771" s="29"/>
      <c r="BF771" s="27">
        <v>4.6959999999999997</v>
      </c>
      <c r="BG771" s="29"/>
      <c r="BK771" s="27">
        <v>2</v>
      </c>
      <c r="BO771" s="29"/>
      <c r="BR771" s="29"/>
      <c r="BS771" s="27">
        <v>3.58</v>
      </c>
      <c r="BT771" s="29"/>
    </row>
    <row r="772" spans="1:72" s="27" customFormat="1" ht="20.25" customHeight="1" x14ac:dyDescent="0.45">
      <c r="A772" s="26"/>
      <c r="B772" s="28">
        <v>91</v>
      </c>
      <c r="E772" s="29"/>
      <c r="F772" s="29"/>
      <c r="H772" s="29"/>
      <c r="I772" s="27">
        <v>8.3030000000000008</v>
      </c>
      <c r="J772" s="27">
        <f>I773/I772</f>
        <v>0.60219197880284225</v>
      </c>
      <c r="L772" s="27">
        <v>91</v>
      </c>
      <c r="O772" s="29"/>
      <c r="P772" s="29"/>
      <c r="R772" s="29"/>
      <c r="S772" s="27">
        <v>13.281000000000001</v>
      </c>
      <c r="T772" s="27">
        <f>S773/S772</f>
        <v>0.42511859046758527</v>
      </c>
      <c r="AC772" s="27">
        <v>15</v>
      </c>
      <c r="AH772" s="27">
        <v>92.350999999999999</v>
      </c>
      <c r="AI772" s="29"/>
      <c r="AJ772" s="29"/>
      <c r="AL772" s="29"/>
      <c r="AM772" s="29"/>
      <c r="AN772" s="27">
        <v>3</v>
      </c>
      <c r="AO772" s="27">
        <v>52.927</v>
      </c>
      <c r="AP772" s="29"/>
      <c r="AQ772" s="29"/>
      <c r="AY772" s="27">
        <v>15</v>
      </c>
      <c r="BC772" s="29"/>
      <c r="BE772" s="27">
        <v>104.21899999999999</v>
      </c>
      <c r="BF772" s="29"/>
      <c r="BG772" s="29"/>
      <c r="BK772" s="27">
        <v>3</v>
      </c>
      <c r="BO772" s="29"/>
      <c r="BR772" s="27">
        <v>141.738</v>
      </c>
      <c r="BS772" s="29"/>
      <c r="BT772" s="29"/>
    </row>
    <row r="773" spans="1:72" s="27" customFormat="1" ht="20.25" customHeight="1" x14ac:dyDescent="0.45">
      <c r="A773" s="26"/>
      <c r="B773" s="28">
        <v>92</v>
      </c>
      <c r="E773" s="29"/>
      <c r="F773" s="29"/>
      <c r="H773" s="29"/>
      <c r="I773" s="27">
        <v>5</v>
      </c>
      <c r="L773" s="27">
        <v>92</v>
      </c>
      <c r="O773" s="29"/>
      <c r="P773" s="29"/>
      <c r="R773" s="29"/>
      <c r="S773" s="27">
        <v>5.6459999999999999</v>
      </c>
      <c r="AC773" s="27">
        <v>16</v>
      </c>
      <c r="AH773" s="29"/>
      <c r="AI773" s="27">
        <v>6.7619999999999996</v>
      </c>
      <c r="AJ773" s="27">
        <f>AI774/AI773</f>
        <v>0.69979296066252594</v>
      </c>
      <c r="AL773" s="29"/>
      <c r="AM773" s="29"/>
      <c r="AN773" s="27">
        <v>4</v>
      </c>
      <c r="AO773" s="29"/>
      <c r="AP773" s="27">
        <v>8.6199999999999992</v>
      </c>
      <c r="AQ773" s="27">
        <f>AP774/AP773</f>
        <v>0.57018561484918795</v>
      </c>
      <c r="AX773" s="27" t="s">
        <v>92</v>
      </c>
      <c r="AY773" s="27">
        <v>1</v>
      </c>
      <c r="BC773" s="29"/>
      <c r="BE773" s="29"/>
      <c r="BF773" s="27">
        <v>5.41</v>
      </c>
      <c r="BG773" s="27">
        <f>BF774/BF773</f>
        <v>0.80887245841035127</v>
      </c>
      <c r="BJ773" s="27" t="s">
        <v>93</v>
      </c>
      <c r="BK773" s="27">
        <v>1</v>
      </c>
      <c r="BO773" s="29"/>
      <c r="BR773" s="29"/>
      <c r="BS773" s="27">
        <v>5.5330000000000004</v>
      </c>
      <c r="BT773" s="27">
        <f>BS774/BS773</f>
        <v>0.41912163383336343</v>
      </c>
    </row>
    <row r="774" spans="1:72" s="27" customFormat="1" ht="20.25" customHeight="1" x14ac:dyDescent="0.45">
      <c r="A774" s="26"/>
      <c r="B774" s="28">
        <v>93</v>
      </c>
      <c r="E774" s="29"/>
      <c r="F774" s="29"/>
      <c r="H774" s="27">
        <v>103.64100000000001</v>
      </c>
      <c r="I774" s="29"/>
      <c r="L774" s="27">
        <v>93</v>
      </c>
      <c r="O774" s="29"/>
      <c r="P774" s="29"/>
      <c r="R774" s="27">
        <v>166.77600000000001</v>
      </c>
      <c r="S774" s="29"/>
      <c r="AC774" s="27">
        <v>17</v>
      </c>
      <c r="AH774" s="29"/>
      <c r="AI774" s="27">
        <v>4.7320000000000002</v>
      </c>
      <c r="AJ774" s="29"/>
      <c r="AL774" s="29"/>
      <c r="AM774" s="29"/>
      <c r="AN774" s="27">
        <v>5</v>
      </c>
      <c r="AO774" s="29"/>
      <c r="AP774" s="27">
        <v>4.915</v>
      </c>
      <c r="AQ774" s="29"/>
      <c r="AY774" s="27">
        <v>2</v>
      </c>
      <c r="BC774" s="29"/>
      <c r="BE774" s="29"/>
      <c r="BF774" s="27">
        <v>4.3760000000000003</v>
      </c>
      <c r="BG774" s="29"/>
      <c r="BK774" s="27">
        <v>2</v>
      </c>
      <c r="BO774" s="29"/>
      <c r="BR774" s="29"/>
      <c r="BS774" s="27">
        <v>2.319</v>
      </c>
      <c r="BT774" s="29"/>
    </row>
    <row r="775" spans="1:72" s="27" customFormat="1" ht="20.25" customHeight="1" x14ac:dyDescent="0.45">
      <c r="A775" s="26"/>
      <c r="B775" s="28">
        <v>94</v>
      </c>
      <c r="E775" s="29"/>
      <c r="F775" s="29"/>
      <c r="H775" s="29"/>
      <c r="I775" s="27">
        <v>6.0460000000000003</v>
      </c>
      <c r="J775" s="27">
        <f>I776/I775</f>
        <v>0.56897122064174654</v>
      </c>
      <c r="L775" s="27">
        <v>94</v>
      </c>
      <c r="M775" s="29"/>
      <c r="N775" s="27">
        <v>12.693</v>
      </c>
      <c r="O775" s="27">
        <f>N776/N775</f>
        <v>0.37288269124714407</v>
      </c>
      <c r="P775" s="29"/>
      <c r="AC775" s="27">
        <v>18</v>
      </c>
      <c r="AH775" s="27">
        <v>172.90700000000001</v>
      </c>
      <c r="AI775" s="29"/>
      <c r="AJ775" s="29"/>
      <c r="AL775" s="29"/>
      <c r="AM775" s="29"/>
      <c r="AN775" s="27">
        <v>6</v>
      </c>
      <c r="AO775" s="27">
        <v>63.902000000000001</v>
      </c>
      <c r="AP775" s="29"/>
      <c r="AQ775" s="29"/>
      <c r="AY775" s="27">
        <v>3</v>
      </c>
      <c r="BC775" s="29"/>
      <c r="BE775" s="27">
        <v>118.244</v>
      </c>
      <c r="BF775" s="29"/>
      <c r="BG775" s="29"/>
      <c r="BK775" s="27">
        <v>3</v>
      </c>
      <c r="BO775" s="29"/>
      <c r="BR775" s="27">
        <v>128.18700000000001</v>
      </c>
      <c r="BS775" s="29"/>
      <c r="BT775" s="29"/>
    </row>
    <row r="776" spans="1:72" s="27" customFormat="1" ht="20.25" customHeight="1" x14ac:dyDescent="0.45">
      <c r="A776" s="26"/>
      <c r="B776" s="28">
        <v>95</v>
      </c>
      <c r="E776" s="29"/>
      <c r="F776" s="29"/>
      <c r="H776" s="29"/>
      <c r="I776" s="27">
        <v>3.44</v>
      </c>
      <c r="L776" s="27">
        <v>95</v>
      </c>
      <c r="M776" s="29"/>
      <c r="N776" s="27">
        <v>4.7329999999999997</v>
      </c>
      <c r="O776" s="29"/>
      <c r="P776" s="29"/>
      <c r="AB776" s="27" t="s">
        <v>84</v>
      </c>
      <c r="AC776" s="27">
        <v>1</v>
      </c>
      <c r="AH776" s="29"/>
      <c r="AI776" s="27">
        <v>8.4730000000000008</v>
      </c>
      <c r="AJ776" s="27">
        <f>AI777/AI776</f>
        <v>0.3014280656202053</v>
      </c>
      <c r="AL776" s="29"/>
      <c r="AM776" s="29"/>
      <c r="AN776" s="27">
        <v>7</v>
      </c>
      <c r="AO776" s="29"/>
      <c r="AP776" s="27">
        <v>12.801</v>
      </c>
      <c r="AQ776" s="27">
        <f>AP777/AP776</f>
        <v>0.35840949925787047</v>
      </c>
      <c r="AY776" s="27">
        <v>4</v>
      </c>
      <c r="BC776" s="29"/>
      <c r="BE776" s="29"/>
      <c r="BF776" s="27">
        <v>12.965999999999999</v>
      </c>
      <c r="BG776" s="27">
        <f>BF777/BF776</f>
        <v>0.2703995064013574</v>
      </c>
      <c r="BK776" s="27">
        <v>4</v>
      </c>
      <c r="BL776" s="29"/>
      <c r="BM776" s="27">
        <v>9.8000000000000007</v>
      </c>
      <c r="BN776" s="27">
        <f>BM777/BM776</f>
        <v>0.43540816326530613</v>
      </c>
      <c r="BO776" s="29"/>
    </row>
    <row r="777" spans="1:72" s="27" customFormat="1" ht="20.25" customHeight="1" x14ac:dyDescent="0.45">
      <c r="A777" s="26"/>
      <c r="B777" s="28">
        <v>96</v>
      </c>
      <c r="E777" s="29"/>
      <c r="F777" s="29"/>
      <c r="H777" s="27">
        <v>173.66900000000001</v>
      </c>
      <c r="I777" s="29"/>
      <c r="L777" s="27">
        <v>96</v>
      </c>
      <c r="M777" s="27">
        <v>37.798999999999999</v>
      </c>
      <c r="N777" s="29"/>
      <c r="O777" s="29"/>
      <c r="P777" s="29"/>
      <c r="AC777" s="27">
        <v>2</v>
      </c>
      <c r="AH777" s="29"/>
      <c r="AI777" s="27">
        <v>2.5539999999999998</v>
      </c>
      <c r="AJ777" s="29"/>
      <c r="AL777" s="29"/>
      <c r="AM777" s="29"/>
      <c r="AN777" s="27">
        <v>8</v>
      </c>
      <c r="AO777" s="29"/>
      <c r="AP777" s="27">
        <v>4.5880000000000001</v>
      </c>
      <c r="AQ777" s="29"/>
      <c r="AY777" s="27">
        <v>5</v>
      </c>
      <c r="BC777" s="29"/>
      <c r="BE777" s="29"/>
      <c r="BF777" s="27">
        <v>3.5059999999999998</v>
      </c>
      <c r="BG777" s="29"/>
      <c r="BK777" s="27">
        <v>5</v>
      </c>
      <c r="BL777" s="29"/>
      <c r="BM777" s="27">
        <v>4.2670000000000003</v>
      </c>
      <c r="BN777" s="29"/>
      <c r="BO777" s="29"/>
    </row>
    <row r="778" spans="1:72" s="27" customFormat="1" ht="20.25" customHeight="1" x14ac:dyDescent="0.45">
      <c r="A778" s="26"/>
      <c r="B778" s="28">
        <v>97</v>
      </c>
      <c r="E778" s="29"/>
      <c r="F778" s="29"/>
      <c r="H778" s="29"/>
      <c r="I778" s="27">
        <v>6.2990000000000004</v>
      </c>
      <c r="J778" s="27">
        <f>I779/I778</f>
        <v>0.60311160501666927</v>
      </c>
      <c r="L778" s="27">
        <v>97</v>
      </c>
      <c r="M778" s="29"/>
      <c r="N778" s="27">
        <v>11.303000000000001</v>
      </c>
      <c r="O778" s="27">
        <f>N779/N778</f>
        <v>0.287799699194904</v>
      </c>
      <c r="P778" s="29"/>
      <c r="AC778" s="27">
        <v>3</v>
      </c>
      <c r="AH778" s="27">
        <v>134.53399999999999</v>
      </c>
      <c r="AI778" s="29"/>
      <c r="AJ778" s="29"/>
      <c r="AL778" s="29"/>
      <c r="AM778" s="29"/>
      <c r="AN778" s="27">
        <v>9</v>
      </c>
      <c r="AO778" s="27">
        <v>74.674999999999997</v>
      </c>
      <c r="AP778" s="29"/>
      <c r="AQ778" s="29"/>
      <c r="AY778" s="27">
        <v>6</v>
      </c>
      <c r="BC778" s="29"/>
      <c r="BE778" s="27">
        <v>132.65899999999999</v>
      </c>
      <c r="BF778" s="29"/>
      <c r="BG778" s="29"/>
      <c r="BK778" s="27">
        <v>6</v>
      </c>
      <c r="BL778" s="27">
        <v>52.875</v>
      </c>
      <c r="BM778" s="29"/>
      <c r="BN778" s="29"/>
      <c r="BO778" s="29"/>
    </row>
    <row r="779" spans="1:72" s="27" customFormat="1" ht="20.25" customHeight="1" x14ac:dyDescent="0.45">
      <c r="A779" s="26"/>
      <c r="B779" s="28">
        <v>98</v>
      </c>
      <c r="E779" s="29"/>
      <c r="F779" s="29"/>
      <c r="H779" s="29"/>
      <c r="I779" s="27">
        <v>3.7989999999999999</v>
      </c>
      <c r="L779" s="27">
        <v>98</v>
      </c>
      <c r="M779" s="29"/>
      <c r="N779" s="27">
        <v>3.2530000000000001</v>
      </c>
      <c r="O779" s="29"/>
      <c r="P779" s="29"/>
      <c r="AC779" s="27">
        <v>4</v>
      </c>
      <c r="AD779" s="29"/>
      <c r="AE779" s="27">
        <v>8.5060000000000002</v>
      </c>
      <c r="AF779" s="27">
        <f>AE780/AE779</f>
        <v>0.50282153773806726</v>
      </c>
      <c r="AL779" s="29"/>
      <c r="AM779" s="27" t="s">
        <v>94</v>
      </c>
      <c r="AN779" s="27">
        <v>1</v>
      </c>
      <c r="AT779" s="29"/>
      <c r="AU779" s="27">
        <v>5.1260000000000003</v>
      </c>
      <c r="AV779" s="27">
        <f>AU780/AU779</f>
        <v>0.56008583690987124</v>
      </c>
      <c r="AY779" s="27">
        <v>7</v>
      </c>
      <c r="BC779" s="29"/>
      <c r="BE779" s="29"/>
      <c r="BF779" s="27">
        <v>7.5519999999999996</v>
      </c>
      <c r="BG779" s="27">
        <f>BF780/BF779</f>
        <v>0.66313559322033899</v>
      </c>
      <c r="BK779" s="27">
        <v>7</v>
      </c>
      <c r="BO779" s="29"/>
      <c r="BR779" s="29"/>
      <c r="BS779" s="27">
        <v>10.385999999999999</v>
      </c>
      <c r="BT779" s="27">
        <f>BS780/BS779</f>
        <v>0.36452917388792611</v>
      </c>
    </row>
    <row r="780" spans="1:72" s="27" customFormat="1" ht="20.25" customHeight="1" x14ac:dyDescent="0.45">
      <c r="A780" s="26"/>
      <c r="B780" s="28">
        <v>99</v>
      </c>
      <c r="E780" s="29"/>
      <c r="F780" s="29"/>
      <c r="H780" s="27">
        <v>137.27799999999999</v>
      </c>
      <c r="I780" s="29"/>
      <c r="L780" s="27">
        <v>99</v>
      </c>
      <c r="M780" s="27">
        <v>65.986000000000004</v>
      </c>
      <c r="N780" s="29"/>
      <c r="O780" s="29"/>
      <c r="P780" s="29"/>
      <c r="AC780" s="27">
        <v>5</v>
      </c>
      <c r="AD780" s="29"/>
      <c r="AE780" s="27">
        <v>4.2770000000000001</v>
      </c>
      <c r="AF780" s="29"/>
      <c r="AL780" s="29"/>
      <c r="AM780" s="29"/>
      <c r="AN780" s="27">
        <v>2</v>
      </c>
      <c r="AT780" s="29"/>
      <c r="AU780" s="27">
        <v>2.871</v>
      </c>
      <c r="AV780" s="29"/>
      <c r="AY780" s="27">
        <v>8</v>
      </c>
      <c r="BC780" s="29"/>
      <c r="BE780" s="29"/>
      <c r="BF780" s="27">
        <v>5.008</v>
      </c>
      <c r="BG780" s="29"/>
      <c r="BK780" s="27">
        <v>8</v>
      </c>
      <c r="BO780" s="29"/>
      <c r="BR780" s="29"/>
      <c r="BS780" s="27">
        <v>3.786</v>
      </c>
      <c r="BT780" s="29"/>
    </row>
    <row r="781" spans="1:72" s="27" customFormat="1" ht="20.25" customHeight="1" x14ac:dyDescent="0.45">
      <c r="A781" s="26"/>
      <c r="B781" s="28">
        <v>100</v>
      </c>
      <c r="C781" s="29"/>
      <c r="D781" s="27">
        <v>7.93</v>
      </c>
      <c r="E781" s="27">
        <f>D782/D781</f>
        <v>0.53568726355611607</v>
      </c>
      <c r="F781" s="29"/>
      <c r="L781" s="27">
        <v>100</v>
      </c>
      <c r="M781" s="29"/>
      <c r="N781" s="27">
        <v>11.004</v>
      </c>
      <c r="O781" s="29"/>
      <c r="P781" s="29"/>
      <c r="AC781" s="27">
        <v>6</v>
      </c>
      <c r="AD781" s="27">
        <v>34.923999999999999</v>
      </c>
      <c r="AE781" s="29"/>
      <c r="AF781" s="29"/>
      <c r="AL781" s="29"/>
      <c r="AM781" s="29"/>
      <c r="AN781" s="27">
        <v>3</v>
      </c>
      <c r="AT781" s="27">
        <v>177.43799999999999</v>
      </c>
      <c r="AU781" s="29"/>
      <c r="AV781" s="29"/>
      <c r="AY781" s="27">
        <v>9</v>
      </c>
      <c r="BC781" s="29"/>
      <c r="BE781" s="27">
        <v>169.114</v>
      </c>
      <c r="BF781" s="29"/>
      <c r="BG781" s="29"/>
      <c r="BK781" s="27">
        <v>9</v>
      </c>
      <c r="BO781" s="29"/>
      <c r="BR781" s="27">
        <v>132.18899999999999</v>
      </c>
      <c r="BS781" s="29"/>
      <c r="BT781" s="29"/>
    </row>
    <row r="782" spans="1:72" s="27" customFormat="1" ht="20.25" customHeight="1" x14ac:dyDescent="0.45">
      <c r="A782" s="26"/>
      <c r="B782" s="28">
        <v>101</v>
      </c>
      <c r="C782" s="29"/>
      <c r="D782" s="27">
        <v>4.2480000000000002</v>
      </c>
      <c r="E782" s="29"/>
      <c r="F782" s="29"/>
      <c r="L782" s="27">
        <v>101</v>
      </c>
      <c r="M782" s="29"/>
      <c r="N782" s="27">
        <v>6.0259999999999998</v>
      </c>
      <c r="O782" s="29"/>
      <c r="P782" s="29"/>
      <c r="AC782" s="27">
        <v>7</v>
      </c>
      <c r="AH782" s="29"/>
      <c r="AI782" s="27">
        <v>6.1769999999999996</v>
      </c>
      <c r="AJ782" s="27">
        <f>AI783/AI782</f>
        <v>0.58766391452161248</v>
      </c>
      <c r="AL782" s="29"/>
      <c r="AM782" s="29"/>
      <c r="AN782" s="27">
        <v>4</v>
      </c>
      <c r="AT782" s="29"/>
      <c r="AU782" s="27">
        <v>8.39</v>
      </c>
      <c r="AV782" s="27">
        <f>AU783/AU782</f>
        <v>0.49928486293206198</v>
      </c>
      <c r="AY782" s="27">
        <v>10</v>
      </c>
      <c r="BC782" s="29"/>
      <c r="BE782" s="29"/>
      <c r="BF782" s="27">
        <v>6.4610000000000003</v>
      </c>
      <c r="BG782" s="27">
        <f>BF783/BF782</f>
        <v>0.9370066553165145</v>
      </c>
      <c r="BK782" s="27">
        <v>10</v>
      </c>
      <c r="BL782" s="29"/>
      <c r="BM782" s="27">
        <v>8.2360000000000007</v>
      </c>
      <c r="BN782" s="27">
        <f>BM783/BM782</f>
        <v>0.51930548810101984</v>
      </c>
      <c r="BO782" s="29"/>
    </row>
    <row r="783" spans="1:72" s="27" customFormat="1" ht="20.25" customHeight="1" x14ac:dyDescent="0.45">
      <c r="A783" s="26"/>
      <c r="B783" s="28">
        <v>102</v>
      </c>
      <c r="C783" s="27">
        <v>48.75</v>
      </c>
      <c r="D783" s="29"/>
      <c r="E783" s="29"/>
      <c r="F783" s="29"/>
      <c r="L783" s="27">
        <v>102</v>
      </c>
      <c r="M783" s="27">
        <v>56.633000000000003</v>
      </c>
      <c r="N783" s="29"/>
      <c r="O783" s="29"/>
      <c r="P783" s="29"/>
      <c r="AC783" s="27">
        <v>8</v>
      </c>
      <c r="AH783" s="29"/>
      <c r="AI783" s="27">
        <v>3.63</v>
      </c>
      <c r="AJ783" s="29"/>
      <c r="AL783" s="29"/>
      <c r="AM783" s="29"/>
      <c r="AN783" s="27">
        <v>5</v>
      </c>
      <c r="AT783" s="29"/>
      <c r="AU783" s="27">
        <v>4.1890000000000001</v>
      </c>
      <c r="AV783" s="29"/>
      <c r="AY783" s="27">
        <v>11</v>
      </c>
      <c r="BC783" s="29"/>
      <c r="BE783" s="29"/>
      <c r="BF783" s="27">
        <v>6.0540000000000003</v>
      </c>
      <c r="BG783" s="29"/>
      <c r="BK783" s="27">
        <v>11</v>
      </c>
      <c r="BL783" s="29"/>
      <c r="BM783" s="27">
        <v>4.2770000000000001</v>
      </c>
      <c r="BN783" s="29"/>
      <c r="BO783" s="29"/>
    </row>
    <row r="784" spans="1:72" s="27" customFormat="1" ht="20.25" customHeight="1" x14ac:dyDescent="0.45">
      <c r="A784" s="26"/>
      <c r="B784" s="28">
        <v>103</v>
      </c>
      <c r="E784" s="29"/>
      <c r="F784" s="29"/>
      <c r="H784" s="29"/>
      <c r="I784" s="27">
        <v>7.6630000000000003</v>
      </c>
      <c r="J784" s="27">
        <f>I785/I784</f>
        <v>0.65261646874592194</v>
      </c>
      <c r="L784" s="27">
        <v>103</v>
      </c>
      <c r="M784" s="29"/>
      <c r="N784" s="27">
        <v>10.208</v>
      </c>
      <c r="O784" s="27">
        <f>N785/N784</f>
        <v>0.38479623824451409</v>
      </c>
      <c r="P784" s="29"/>
      <c r="AC784" s="27">
        <v>9</v>
      </c>
      <c r="AH784" s="27">
        <v>114.48399999999999</v>
      </c>
      <c r="AI784" s="29"/>
      <c r="AJ784" s="29"/>
      <c r="AL784" s="29"/>
      <c r="AM784" s="29"/>
      <c r="AN784" s="27">
        <v>6</v>
      </c>
      <c r="AT784" s="27">
        <v>121.023</v>
      </c>
      <c r="AU784" s="29"/>
      <c r="AV784" s="29"/>
      <c r="AY784" s="27">
        <v>12</v>
      </c>
      <c r="BC784" s="29"/>
      <c r="BE784" s="27">
        <v>114.85599999999999</v>
      </c>
      <c r="BF784" s="29"/>
      <c r="BG784" s="29"/>
      <c r="BK784" s="27">
        <v>12</v>
      </c>
      <c r="BL784" s="27">
        <v>79.593000000000004</v>
      </c>
      <c r="BM784" s="29"/>
      <c r="BN784" s="29"/>
      <c r="BO784" s="29"/>
    </row>
    <row r="785" spans="1:72" s="27" customFormat="1" ht="20.25" customHeight="1" x14ac:dyDescent="0.45">
      <c r="A785" s="26"/>
      <c r="B785" s="28">
        <v>104</v>
      </c>
      <c r="E785" s="29"/>
      <c r="F785" s="29"/>
      <c r="H785" s="29"/>
      <c r="I785" s="27">
        <v>5.0010000000000003</v>
      </c>
      <c r="L785" s="27">
        <v>104</v>
      </c>
      <c r="M785" s="29"/>
      <c r="N785" s="27">
        <v>3.9279999999999999</v>
      </c>
      <c r="O785" s="29"/>
      <c r="P785" s="29"/>
      <c r="AB785" s="27" t="s">
        <v>91</v>
      </c>
      <c r="AC785" s="27">
        <v>1</v>
      </c>
      <c r="AH785" s="29"/>
      <c r="AI785" s="27">
        <v>8.0090000000000003</v>
      </c>
      <c r="AJ785" s="27">
        <f>AI786/AI785</f>
        <v>0.37645149207141965</v>
      </c>
      <c r="AL785" s="29"/>
      <c r="AM785" s="29"/>
      <c r="AN785" s="27">
        <v>7</v>
      </c>
      <c r="AT785" s="29"/>
      <c r="AU785" s="27">
        <v>10.419</v>
      </c>
      <c r="AV785" s="27">
        <f>AU786/AU785</f>
        <v>0.57299164987042894</v>
      </c>
      <c r="AY785" s="27">
        <v>13</v>
      </c>
      <c r="BC785" s="29"/>
      <c r="BE785" s="29"/>
      <c r="BF785" s="27">
        <v>6.7619999999999996</v>
      </c>
      <c r="BG785" s="27">
        <f>BF786/BF785</f>
        <v>0.59908311150547178</v>
      </c>
      <c r="BJ785" s="27" t="s">
        <v>85</v>
      </c>
      <c r="BK785" s="27">
        <v>1</v>
      </c>
      <c r="BO785" s="29"/>
      <c r="BR785" s="29"/>
      <c r="BS785" s="27">
        <v>7.8860000000000001</v>
      </c>
      <c r="BT785" s="27">
        <f>BS786/BS785</f>
        <v>0.58901851382196291</v>
      </c>
    </row>
    <row r="786" spans="1:72" s="27" customFormat="1" ht="20.25" customHeight="1" x14ac:dyDescent="0.45">
      <c r="A786" s="26"/>
      <c r="B786" s="28">
        <v>105</v>
      </c>
      <c r="E786" s="29"/>
      <c r="F786" s="29"/>
      <c r="H786" s="27">
        <v>134.79599999999999</v>
      </c>
      <c r="I786" s="29"/>
      <c r="L786" s="27">
        <v>105</v>
      </c>
      <c r="M786" s="27">
        <v>56.311999999999998</v>
      </c>
      <c r="N786" s="29"/>
      <c r="O786" s="29"/>
      <c r="P786" s="29"/>
      <c r="AB786" s="29"/>
      <c r="AC786" s="27">
        <v>2</v>
      </c>
      <c r="AH786" s="29"/>
      <c r="AI786" s="27">
        <v>3.0150000000000001</v>
      </c>
      <c r="AJ786" s="29"/>
      <c r="AL786" s="29"/>
      <c r="AM786" s="29"/>
      <c r="AN786" s="27">
        <v>8</v>
      </c>
      <c r="AT786" s="29"/>
      <c r="AU786" s="27">
        <v>5.97</v>
      </c>
      <c r="AV786" s="29"/>
      <c r="AY786" s="27">
        <v>14</v>
      </c>
      <c r="BC786" s="29"/>
      <c r="BE786" s="29"/>
      <c r="BF786" s="27">
        <v>4.0510000000000002</v>
      </c>
      <c r="BG786" s="29"/>
      <c r="BK786" s="27">
        <v>2</v>
      </c>
      <c r="BO786" s="29"/>
      <c r="BR786" s="29"/>
      <c r="BS786" s="27">
        <v>4.6449999999999996</v>
      </c>
      <c r="BT786" s="29"/>
    </row>
    <row r="787" spans="1:72" s="27" customFormat="1" ht="20.25" customHeight="1" x14ac:dyDescent="0.45">
      <c r="A787" s="26"/>
      <c r="B787" s="28">
        <v>106</v>
      </c>
      <c r="E787" s="29"/>
      <c r="F787" s="29"/>
      <c r="H787" s="29"/>
      <c r="I787" s="27">
        <v>7.9039999999999999</v>
      </c>
      <c r="J787" s="27">
        <f>I788/I787</f>
        <v>0.51632085020242924</v>
      </c>
      <c r="L787" s="27">
        <v>106</v>
      </c>
      <c r="O787" s="29"/>
      <c r="P787" s="29"/>
      <c r="R787" s="29"/>
      <c r="S787" s="27">
        <v>8.1639999999999997</v>
      </c>
      <c r="T787" s="27">
        <f>S788/S787</f>
        <v>0.48199412052915241</v>
      </c>
      <c r="AB787" s="29"/>
      <c r="AC787" s="27">
        <v>3</v>
      </c>
      <c r="AH787" s="27">
        <v>178.51499999999999</v>
      </c>
      <c r="AI787" s="29"/>
      <c r="AJ787" s="29"/>
      <c r="AL787" s="29"/>
      <c r="AM787" s="29"/>
      <c r="AN787" s="27">
        <v>9</v>
      </c>
      <c r="AT787" s="27">
        <v>172.01499999999999</v>
      </c>
      <c r="AU787" s="29"/>
      <c r="AV787" s="29"/>
      <c r="AY787" s="27">
        <v>15</v>
      </c>
      <c r="BC787" s="29"/>
      <c r="BE787" s="27">
        <v>156.697</v>
      </c>
      <c r="BF787" s="29"/>
      <c r="BG787" s="29"/>
      <c r="BK787" s="27">
        <v>3</v>
      </c>
      <c r="BO787" s="29"/>
      <c r="BR787" s="27">
        <v>127.336</v>
      </c>
      <c r="BS787" s="29"/>
      <c r="BT787" s="29"/>
    </row>
    <row r="788" spans="1:72" s="27" customFormat="1" ht="20.25" customHeight="1" x14ac:dyDescent="0.45">
      <c r="A788" s="26"/>
      <c r="B788" s="28">
        <v>107</v>
      </c>
      <c r="E788" s="29"/>
      <c r="F788" s="29"/>
      <c r="H788" s="29"/>
      <c r="I788" s="27">
        <v>4.0810000000000004</v>
      </c>
      <c r="L788" s="27">
        <v>107</v>
      </c>
      <c r="O788" s="29"/>
      <c r="P788" s="29"/>
      <c r="R788" s="29"/>
      <c r="S788" s="27">
        <v>3.9350000000000001</v>
      </c>
      <c r="AB788" s="29"/>
      <c r="AC788" s="27">
        <v>4</v>
      </c>
      <c r="AH788" s="29"/>
      <c r="AI788" s="27">
        <v>5.5679999999999996</v>
      </c>
      <c r="AJ788" s="27">
        <f>AI789/AI788</f>
        <v>0.77065373563218398</v>
      </c>
      <c r="AL788" s="29"/>
      <c r="AM788" s="29"/>
      <c r="AN788" s="27">
        <v>10</v>
      </c>
      <c r="AT788" s="29"/>
      <c r="AU788" s="27">
        <v>7.0510000000000002</v>
      </c>
      <c r="AV788" s="27">
        <f>AU789/AU788</f>
        <v>0.49071053751240956</v>
      </c>
      <c r="AY788" s="27">
        <v>16</v>
      </c>
      <c r="BC788" s="29"/>
      <c r="BE788" s="29"/>
      <c r="BF788" s="27">
        <v>5.55</v>
      </c>
      <c r="BG788" s="27">
        <f>BF789/BF788</f>
        <v>0.7801801801801802</v>
      </c>
      <c r="BK788" s="27">
        <v>4</v>
      </c>
      <c r="BO788" s="29"/>
      <c r="BR788" s="29"/>
      <c r="BS788" s="27">
        <v>7.2610000000000001</v>
      </c>
      <c r="BT788" s="27">
        <f>BS789/BS788</f>
        <v>0.52320616994904279</v>
      </c>
    </row>
    <row r="789" spans="1:72" s="27" customFormat="1" ht="20.25" customHeight="1" x14ac:dyDescent="0.45">
      <c r="A789" s="26"/>
      <c r="B789" s="28">
        <v>108</v>
      </c>
      <c r="E789" s="29"/>
      <c r="F789" s="29"/>
      <c r="H789" s="27">
        <v>90.31</v>
      </c>
      <c r="I789" s="29"/>
      <c r="L789" s="27">
        <v>108</v>
      </c>
      <c r="O789" s="29"/>
      <c r="P789" s="29"/>
      <c r="R789" s="27">
        <v>100.84699999999999</v>
      </c>
      <c r="S789" s="29"/>
      <c r="AC789" s="27">
        <v>5</v>
      </c>
      <c r="AH789" s="29"/>
      <c r="AI789" s="27">
        <v>4.2910000000000004</v>
      </c>
      <c r="AJ789" s="29"/>
      <c r="AL789" s="29"/>
      <c r="AM789" s="29"/>
      <c r="AN789" s="27">
        <v>11</v>
      </c>
      <c r="AT789" s="29"/>
      <c r="AU789" s="27">
        <v>3.46</v>
      </c>
      <c r="AV789" s="29"/>
      <c r="AY789" s="27">
        <v>17</v>
      </c>
      <c r="BC789" s="29"/>
      <c r="BE789" s="29"/>
      <c r="BF789" s="27">
        <v>4.33</v>
      </c>
      <c r="BG789" s="29"/>
      <c r="BK789" s="27">
        <v>5</v>
      </c>
      <c r="BO789" s="29"/>
      <c r="BR789" s="29"/>
      <c r="BS789" s="27">
        <v>3.7989999999999999</v>
      </c>
      <c r="BT789" s="29"/>
    </row>
    <row r="790" spans="1:72" s="27" customFormat="1" ht="20.25" customHeight="1" x14ac:dyDescent="0.45">
      <c r="A790" s="26"/>
      <c r="B790" s="28">
        <v>109</v>
      </c>
      <c r="C790" s="29"/>
      <c r="D790" s="27">
        <v>9.0299999999999994</v>
      </c>
      <c r="E790" s="27">
        <f>D791/D790</f>
        <v>0.41262458471760799</v>
      </c>
      <c r="F790" s="29"/>
      <c r="L790" s="27">
        <v>109</v>
      </c>
      <c r="M790" s="29"/>
      <c r="N790" s="27">
        <v>9.3989999999999991</v>
      </c>
      <c r="O790" s="27">
        <f>N791/N790</f>
        <v>0.42547079476540062</v>
      </c>
      <c r="P790" s="29"/>
      <c r="AC790" s="27">
        <v>6</v>
      </c>
      <c r="AH790" s="27">
        <v>108.068</v>
      </c>
      <c r="AI790" s="29"/>
      <c r="AJ790" s="29"/>
      <c r="AL790" s="29"/>
      <c r="AM790" s="29"/>
      <c r="AN790" s="27">
        <v>12</v>
      </c>
      <c r="AT790" s="27">
        <v>171.167</v>
      </c>
      <c r="AU790" s="29"/>
      <c r="AV790" s="29"/>
      <c r="AY790" s="27">
        <v>18</v>
      </c>
      <c r="BC790" s="29"/>
      <c r="BE790" s="27">
        <v>114.999</v>
      </c>
      <c r="BF790" s="29"/>
      <c r="BG790" s="29"/>
      <c r="BK790" s="27">
        <v>6</v>
      </c>
      <c r="BO790" s="29"/>
      <c r="BR790" s="27">
        <v>145.697</v>
      </c>
      <c r="BS790" s="29"/>
      <c r="BT790" s="29"/>
    </row>
    <row r="791" spans="1:72" s="27" customFormat="1" ht="20.25" customHeight="1" x14ac:dyDescent="0.45">
      <c r="A791" s="26"/>
      <c r="B791" s="28">
        <v>110</v>
      </c>
      <c r="C791" s="29"/>
      <c r="D791" s="27">
        <v>3.726</v>
      </c>
      <c r="E791" s="29"/>
      <c r="F791" s="29"/>
      <c r="L791" s="27">
        <v>110</v>
      </c>
      <c r="M791" s="29"/>
      <c r="N791" s="27">
        <v>3.9990000000000001</v>
      </c>
      <c r="O791" s="29"/>
      <c r="P791" s="29"/>
      <c r="AC791" s="27">
        <v>7</v>
      </c>
      <c r="AH791" s="29"/>
      <c r="AI791" s="27">
        <v>5.0949999999999998</v>
      </c>
      <c r="AJ791" s="27">
        <f>AI792/AI791</f>
        <v>0.80824337585868511</v>
      </c>
      <c r="AL791" s="29"/>
      <c r="AM791" s="29"/>
      <c r="AN791" s="27">
        <v>13</v>
      </c>
      <c r="AO791" s="29"/>
      <c r="AP791" s="27">
        <v>9.1140000000000008</v>
      </c>
      <c r="AQ791" s="27">
        <f>AP792/AP791</f>
        <v>0.34617072635505808</v>
      </c>
      <c r="AX791" s="27" t="s">
        <v>83</v>
      </c>
      <c r="AY791" s="27">
        <v>1</v>
      </c>
      <c r="BC791" s="29"/>
      <c r="BE791" s="29"/>
      <c r="BF791" s="27">
        <v>8.9480000000000004</v>
      </c>
      <c r="BG791" s="27">
        <f>BF792/BF791</f>
        <v>0.44032185963343762</v>
      </c>
      <c r="BK791" s="27">
        <v>7</v>
      </c>
      <c r="BO791" s="29"/>
      <c r="BR791" s="29"/>
      <c r="BS791" s="27">
        <v>6.827</v>
      </c>
      <c r="BT791" s="27">
        <f>BS792/BS791</f>
        <v>0.8595283433426103</v>
      </c>
    </row>
    <row r="792" spans="1:72" s="27" customFormat="1" ht="20.25" customHeight="1" x14ac:dyDescent="0.45">
      <c r="A792" s="26"/>
      <c r="B792" s="28">
        <v>111</v>
      </c>
      <c r="C792" s="27">
        <v>28.707999999999998</v>
      </c>
      <c r="D792" s="29"/>
      <c r="E792" s="29"/>
      <c r="F792" s="29"/>
      <c r="L792" s="27">
        <v>111</v>
      </c>
      <c r="M792" s="27">
        <v>77.155000000000001</v>
      </c>
      <c r="N792" s="29"/>
      <c r="O792" s="29"/>
      <c r="P792" s="29"/>
      <c r="AC792" s="27">
        <v>8</v>
      </c>
      <c r="AH792" s="29"/>
      <c r="AI792" s="27">
        <v>4.1180000000000003</v>
      </c>
      <c r="AJ792" s="29"/>
      <c r="AL792" s="29"/>
      <c r="AM792" s="29"/>
      <c r="AN792" s="27">
        <v>14</v>
      </c>
      <c r="AO792" s="29"/>
      <c r="AP792" s="27">
        <v>3.1549999999999998</v>
      </c>
      <c r="AQ792" s="29"/>
      <c r="AY792" s="27">
        <v>2</v>
      </c>
      <c r="BC792" s="29"/>
      <c r="BE792" s="29"/>
      <c r="BF792" s="27">
        <v>3.94</v>
      </c>
      <c r="BG792" s="29"/>
      <c r="BK792" s="27">
        <v>8</v>
      </c>
      <c r="BO792" s="29"/>
      <c r="BR792" s="29"/>
      <c r="BS792" s="27">
        <v>5.8680000000000003</v>
      </c>
      <c r="BT792" s="29"/>
    </row>
    <row r="793" spans="1:72" s="27" customFormat="1" ht="20.25" customHeight="1" x14ac:dyDescent="0.45">
      <c r="A793" s="26"/>
      <c r="B793" s="28">
        <v>112</v>
      </c>
      <c r="E793" s="29"/>
      <c r="F793" s="29"/>
      <c r="H793" s="29"/>
      <c r="I793" s="27">
        <v>7.5270000000000001</v>
      </c>
      <c r="J793" s="27">
        <f>I794/I793</f>
        <v>0.52504317789291877</v>
      </c>
      <c r="L793" s="27">
        <v>112</v>
      </c>
      <c r="M793" s="29"/>
      <c r="N793" s="27">
        <v>11.683</v>
      </c>
      <c r="O793" s="27">
        <f>N794/N793</f>
        <v>0.39159462466832151</v>
      </c>
      <c r="P793" s="29"/>
      <c r="AC793" s="27">
        <v>9</v>
      </c>
      <c r="AH793" s="27">
        <v>171.898</v>
      </c>
      <c r="AI793" s="29"/>
      <c r="AJ793" s="29"/>
      <c r="AL793" s="29"/>
      <c r="AN793" s="27">
        <v>15</v>
      </c>
      <c r="AO793" s="27">
        <v>76.691999999999993</v>
      </c>
      <c r="AP793" s="29"/>
      <c r="AQ793" s="29"/>
      <c r="AY793" s="27">
        <v>3</v>
      </c>
      <c r="BC793" s="29"/>
      <c r="BE793" s="27">
        <v>164.571</v>
      </c>
      <c r="BF793" s="29"/>
      <c r="BG793" s="29"/>
      <c r="BK793" s="27">
        <v>9</v>
      </c>
      <c r="BO793" s="29"/>
      <c r="BR793" s="27">
        <v>150.71299999999999</v>
      </c>
      <c r="BS793" s="29"/>
      <c r="BT793" s="29"/>
    </row>
    <row r="794" spans="1:72" s="27" customFormat="1" ht="20.25" customHeight="1" x14ac:dyDescent="0.45">
      <c r="A794" s="26"/>
      <c r="B794" s="28">
        <v>113</v>
      </c>
      <c r="E794" s="29"/>
      <c r="F794" s="29"/>
      <c r="H794" s="29"/>
      <c r="I794" s="27">
        <v>3.952</v>
      </c>
      <c r="L794" s="27">
        <v>113</v>
      </c>
      <c r="M794" s="29"/>
      <c r="N794" s="27">
        <v>4.5750000000000002</v>
      </c>
      <c r="O794" s="29"/>
      <c r="P794" s="29"/>
      <c r="AC794" s="27">
        <v>1</v>
      </c>
      <c r="AH794" s="29"/>
      <c r="AI794" s="27">
        <v>7.21</v>
      </c>
      <c r="AJ794" s="27">
        <f>AI795/AI794</f>
        <v>0.46837725381414697</v>
      </c>
      <c r="AL794" s="29"/>
      <c r="AM794" s="27" t="s">
        <v>95</v>
      </c>
      <c r="AN794" s="27">
        <v>1</v>
      </c>
      <c r="AT794" s="29"/>
      <c r="AU794" s="27">
        <v>8.9689999999999994</v>
      </c>
      <c r="AV794" s="27">
        <f>AU795/AU794</f>
        <v>0.49503846582673661</v>
      </c>
      <c r="AY794" s="27">
        <v>4</v>
      </c>
      <c r="AZ794" s="29"/>
      <c r="BA794" s="27">
        <v>7.1719999999999997</v>
      </c>
      <c r="BB794" s="27">
        <f>BA795/BA794</f>
        <v>0.75501952035694375</v>
      </c>
      <c r="BC794" s="29"/>
      <c r="BK794" s="27">
        <v>1</v>
      </c>
      <c r="BL794" s="29"/>
      <c r="BM794" s="27">
        <v>11.048999999999999</v>
      </c>
      <c r="BN794" s="27">
        <f>BM795/BM794</f>
        <v>0.45823151416417773</v>
      </c>
      <c r="BO794" s="29"/>
    </row>
    <row r="795" spans="1:72" s="27" customFormat="1" ht="20.25" customHeight="1" x14ac:dyDescent="0.45">
      <c r="A795" s="26"/>
      <c r="B795" s="28">
        <v>114</v>
      </c>
      <c r="E795" s="29"/>
      <c r="F795" s="29"/>
      <c r="H795" s="27">
        <v>106.72799999999999</v>
      </c>
      <c r="I795" s="29"/>
      <c r="L795" s="27">
        <v>114</v>
      </c>
      <c r="M795" s="27">
        <v>69.33</v>
      </c>
      <c r="N795" s="29"/>
      <c r="O795" s="29"/>
      <c r="P795" s="29"/>
      <c r="AC795" s="27">
        <v>2</v>
      </c>
      <c r="AH795" s="29"/>
      <c r="AI795" s="27">
        <v>3.3769999999999998</v>
      </c>
      <c r="AJ795" s="29"/>
      <c r="AL795" s="29"/>
      <c r="AM795" s="29"/>
      <c r="AN795" s="27">
        <v>2</v>
      </c>
      <c r="AT795" s="29"/>
      <c r="AU795" s="27">
        <v>4.4400000000000004</v>
      </c>
      <c r="AV795" s="29"/>
      <c r="AY795" s="27">
        <v>5</v>
      </c>
      <c r="AZ795" s="29"/>
      <c r="BA795" s="27">
        <v>5.415</v>
      </c>
      <c r="BB795" s="29"/>
      <c r="BC795" s="29"/>
      <c r="BK795" s="27">
        <v>2</v>
      </c>
      <c r="BL795" s="29"/>
      <c r="BM795" s="27">
        <v>5.0629999999999997</v>
      </c>
      <c r="BN795" s="29"/>
      <c r="BO795" s="29"/>
    </row>
    <row r="796" spans="1:72" s="27" customFormat="1" ht="20.25" customHeight="1" x14ac:dyDescent="0.45">
      <c r="A796" s="26"/>
      <c r="B796" s="28">
        <v>115</v>
      </c>
      <c r="E796" s="29"/>
      <c r="F796" s="29"/>
      <c r="H796" s="29"/>
      <c r="I796" s="27">
        <v>10.644</v>
      </c>
      <c r="J796" s="27">
        <f>I797/I796</f>
        <v>0.5093010146561443</v>
      </c>
      <c r="L796" s="27">
        <v>115</v>
      </c>
      <c r="M796" s="29"/>
      <c r="N796" s="27">
        <v>8.7899999999999991</v>
      </c>
      <c r="O796" s="27">
        <f>N797/N796</f>
        <v>0.49374288964732654</v>
      </c>
      <c r="P796" s="29"/>
      <c r="AC796" s="27">
        <v>3</v>
      </c>
      <c r="AH796" s="27">
        <v>137.34899999999999</v>
      </c>
      <c r="AI796" s="29"/>
      <c r="AJ796" s="29"/>
      <c r="AL796" s="29"/>
      <c r="AM796" s="29"/>
      <c r="AN796" s="27">
        <v>3</v>
      </c>
      <c r="AT796" s="27">
        <v>179.60900000000001</v>
      </c>
      <c r="AU796" s="29"/>
      <c r="AV796" s="29"/>
      <c r="AY796" s="27">
        <v>6</v>
      </c>
      <c r="AZ796" s="27">
        <v>46.304000000000002</v>
      </c>
      <c r="BA796" s="29"/>
      <c r="BB796" s="29"/>
      <c r="BC796" s="29"/>
      <c r="BK796" s="27">
        <v>3</v>
      </c>
      <c r="BL796" s="27">
        <v>72.861000000000004</v>
      </c>
      <c r="BM796" s="29"/>
      <c r="BN796" s="29"/>
      <c r="BO796" s="29"/>
    </row>
    <row r="797" spans="1:72" s="27" customFormat="1" ht="20.25" customHeight="1" x14ac:dyDescent="0.45">
      <c r="A797" s="26"/>
      <c r="B797" s="28">
        <v>116</v>
      </c>
      <c r="E797" s="29"/>
      <c r="F797" s="29"/>
      <c r="H797" s="29"/>
      <c r="I797" s="27">
        <v>5.4210000000000003</v>
      </c>
      <c r="L797" s="27">
        <v>116</v>
      </c>
      <c r="M797" s="29"/>
      <c r="N797" s="27">
        <v>4.34</v>
      </c>
      <c r="O797" s="29"/>
      <c r="P797" s="29"/>
      <c r="AC797" s="27">
        <v>4</v>
      </c>
      <c r="AH797" s="29"/>
      <c r="AI797" s="27">
        <v>8.1519999999999992</v>
      </c>
      <c r="AJ797" s="27">
        <f>AI798/AI797</f>
        <v>0.65456329735034358</v>
      </c>
      <c r="AL797" s="29"/>
      <c r="AM797" s="29"/>
      <c r="AN797" s="27">
        <v>4</v>
      </c>
      <c r="AO797" s="29"/>
      <c r="AP797" s="27">
        <v>7.0979999999999999</v>
      </c>
      <c r="AQ797" s="27">
        <f>AP798/AP797</f>
        <v>0.27824739363200901</v>
      </c>
      <c r="AY797" s="27">
        <v>7</v>
      </c>
      <c r="BC797" s="29"/>
      <c r="BE797" s="29"/>
      <c r="BF797" s="27">
        <v>5.9269999999999996</v>
      </c>
      <c r="BG797" s="27">
        <f>BF798/BF797</f>
        <v>0.65125695967605879</v>
      </c>
      <c r="BK797" s="27">
        <v>4</v>
      </c>
      <c r="BL797" s="29"/>
      <c r="BM797" s="27">
        <v>7.6449999999999996</v>
      </c>
      <c r="BN797" s="27">
        <f>BM798/BM797</f>
        <v>0.50490516677567043</v>
      </c>
      <c r="BO797" s="29"/>
    </row>
    <row r="798" spans="1:72" s="27" customFormat="1" ht="20.25" customHeight="1" x14ac:dyDescent="0.45">
      <c r="A798" s="26"/>
      <c r="B798" s="28">
        <v>117</v>
      </c>
      <c r="E798" s="29"/>
      <c r="F798" s="29"/>
      <c r="H798" s="27">
        <v>162.899</v>
      </c>
      <c r="I798" s="29"/>
      <c r="L798" s="27">
        <v>117</v>
      </c>
      <c r="M798" s="27">
        <v>77.644999999999996</v>
      </c>
      <c r="N798" s="29"/>
      <c r="O798" s="29"/>
      <c r="P798" s="29"/>
      <c r="AC798" s="27">
        <v>5</v>
      </c>
      <c r="AH798" s="29"/>
      <c r="AI798" s="27">
        <v>5.3360000000000003</v>
      </c>
      <c r="AJ798" s="29"/>
      <c r="AL798" s="29"/>
      <c r="AM798" s="29"/>
      <c r="AN798" s="27">
        <v>5</v>
      </c>
      <c r="AO798" s="29"/>
      <c r="AP798" s="27">
        <v>1.9750000000000001</v>
      </c>
      <c r="AQ798" s="29"/>
      <c r="AY798" s="27">
        <v>8</v>
      </c>
      <c r="BC798" s="29"/>
      <c r="BE798" s="29"/>
      <c r="BF798" s="27">
        <v>3.86</v>
      </c>
      <c r="BG798" s="29"/>
      <c r="BK798" s="27">
        <v>5</v>
      </c>
      <c r="BL798" s="29"/>
      <c r="BM798" s="27">
        <v>3.86</v>
      </c>
      <c r="BN798" s="29"/>
      <c r="BO798" s="29"/>
    </row>
    <row r="799" spans="1:72" s="27" customFormat="1" ht="20.25" customHeight="1" x14ac:dyDescent="0.45">
      <c r="A799" s="26"/>
      <c r="B799" s="28">
        <v>118</v>
      </c>
      <c r="E799" s="29"/>
      <c r="F799" s="29"/>
      <c r="H799" s="29"/>
      <c r="I799" s="27">
        <v>6.2709999999999999</v>
      </c>
      <c r="J799" s="27">
        <f>I800/I799</f>
        <v>0.76558762557805782</v>
      </c>
      <c r="L799" s="27">
        <v>118</v>
      </c>
      <c r="M799" s="29"/>
      <c r="N799" s="27">
        <v>8.0299999999999994</v>
      </c>
      <c r="O799" s="27">
        <f>N800/N799</f>
        <v>0.48542963885429646</v>
      </c>
      <c r="P799" s="29"/>
      <c r="AC799" s="27">
        <v>6</v>
      </c>
      <c r="AH799" s="27">
        <v>163.62</v>
      </c>
      <c r="AI799" s="29"/>
      <c r="AJ799" s="29"/>
      <c r="AL799" s="29"/>
      <c r="AM799" s="29"/>
      <c r="AN799" s="27">
        <v>6</v>
      </c>
      <c r="AO799" s="27">
        <v>76.11</v>
      </c>
      <c r="AP799" s="29"/>
      <c r="AQ799" s="29"/>
      <c r="AY799" s="27">
        <v>9</v>
      </c>
      <c r="BC799" s="29"/>
      <c r="BE799" s="27">
        <v>93.42</v>
      </c>
      <c r="BF799" s="29"/>
      <c r="BG799" s="29"/>
      <c r="BK799" s="27">
        <v>6</v>
      </c>
      <c r="BL799" s="27">
        <v>64.533000000000001</v>
      </c>
      <c r="BM799" s="29"/>
      <c r="BN799" s="29"/>
      <c r="BO799" s="29"/>
    </row>
    <row r="800" spans="1:72" s="27" customFormat="1" ht="20.25" customHeight="1" x14ac:dyDescent="0.45">
      <c r="A800" s="26"/>
      <c r="B800" s="28">
        <v>119</v>
      </c>
      <c r="E800" s="29"/>
      <c r="F800" s="29"/>
      <c r="H800" s="29"/>
      <c r="I800" s="27">
        <v>4.8010000000000002</v>
      </c>
      <c r="L800" s="27">
        <v>119</v>
      </c>
      <c r="M800" s="29"/>
      <c r="N800" s="27">
        <v>3.8980000000000001</v>
      </c>
      <c r="O800" s="29"/>
      <c r="P800" s="29"/>
      <c r="AC800" s="27">
        <v>7</v>
      </c>
      <c r="AH800" s="29"/>
      <c r="AI800" s="27">
        <v>5.0830000000000002</v>
      </c>
      <c r="AJ800" s="27">
        <f>AI801/AI800</f>
        <v>0.93881566004328154</v>
      </c>
      <c r="AL800" s="29"/>
      <c r="AM800" s="29"/>
      <c r="AN800" s="27">
        <v>7</v>
      </c>
      <c r="AT800" s="29"/>
      <c r="AU800" s="27">
        <v>7.9809999999999999</v>
      </c>
      <c r="AV800" s="27">
        <f>AU801/AU800</f>
        <v>0.7416363864177421</v>
      </c>
      <c r="AY800" s="27">
        <v>10</v>
      </c>
      <c r="BC800" s="29"/>
      <c r="BE800" s="29"/>
      <c r="BF800" s="27">
        <v>6.8579999999999997</v>
      </c>
      <c r="BG800" s="27">
        <f>BF801/BF800</f>
        <v>0.63750364537766113</v>
      </c>
      <c r="BK800" s="27">
        <v>7</v>
      </c>
      <c r="BL800" s="29"/>
      <c r="BM800" s="27">
        <v>8.7910000000000004</v>
      </c>
      <c r="BN800" s="27">
        <f>BM801/BM800</f>
        <v>0.4262313729951086</v>
      </c>
      <c r="BO800" s="29"/>
    </row>
    <row r="801" spans="1:67" s="27" customFormat="1" ht="20.25" customHeight="1" x14ac:dyDescent="0.45">
      <c r="A801" s="26"/>
      <c r="B801" s="28">
        <v>120</v>
      </c>
      <c r="E801" s="29"/>
      <c r="F801" s="29"/>
      <c r="H801" s="27">
        <v>101.282</v>
      </c>
      <c r="I801" s="29"/>
      <c r="L801" s="27">
        <v>120</v>
      </c>
      <c r="M801" s="27">
        <v>28.344000000000001</v>
      </c>
      <c r="N801" s="29"/>
      <c r="O801" s="29"/>
      <c r="P801" s="29"/>
      <c r="AC801" s="27">
        <v>8</v>
      </c>
      <c r="AH801" s="29"/>
      <c r="AI801" s="27">
        <v>4.7720000000000002</v>
      </c>
      <c r="AJ801" s="29"/>
      <c r="AL801" s="29"/>
      <c r="AM801" s="29"/>
      <c r="AN801" s="27">
        <v>8</v>
      </c>
      <c r="AT801" s="29"/>
      <c r="AU801" s="27">
        <v>5.9189999999999996</v>
      </c>
      <c r="AV801" s="29"/>
      <c r="AY801" s="27">
        <v>11</v>
      </c>
      <c r="BC801" s="29"/>
      <c r="BE801" s="29"/>
      <c r="BF801" s="27">
        <v>4.3719999999999999</v>
      </c>
      <c r="BG801" s="29"/>
      <c r="BK801" s="27">
        <v>8</v>
      </c>
      <c r="BL801" s="29"/>
      <c r="BM801" s="27">
        <v>3.7469999999999999</v>
      </c>
      <c r="BN801" s="29"/>
      <c r="BO801" s="29"/>
    </row>
    <row r="802" spans="1:67" s="27" customFormat="1" ht="20.25" customHeight="1" x14ac:dyDescent="0.45">
      <c r="A802" s="26"/>
      <c r="B802" s="28"/>
      <c r="C802" s="27">
        <f>SUM(C682:C801)</f>
        <v>694.89099999999996</v>
      </c>
      <c r="E802" s="27">
        <f>SUM(E682:E801)</f>
        <v>8.6282375011965691</v>
      </c>
      <c r="H802" s="27">
        <f>SUM(H683:H801)</f>
        <v>3191.3299999999995</v>
      </c>
      <c r="J802" s="27">
        <f>SUM(J683:J800)</f>
        <v>15.415639137696296</v>
      </c>
      <c r="M802" s="27">
        <f>SUM(M682:M801)</f>
        <v>1852.1039999999998</v>
      </c>
      <c r="O802" s="27">
        <f>SUM(O682:O801)</f>
        <v>13.098347951328588</v>
      </c>
      <c r="R802" s="27">
        <f>SUM(R682:R801)</f>
        <v>1710.953</v>
      </c>
      <c r="T802" s="27">
        <f>SUM(T682:T801)</f>
        <v>5.5660305017420333</v>
      </c>
      <c r="AC802" s="27">
        <v>9</v>
      </c>
      <c r="AH802" s="27">
        <v>175.90899999999999</v>
      </c>
      <c r="AI802" s="29"/>
      <c r="AJ802" s="29"/>
      <c r="AL802" s="29"/>
      <c r="AM802" s="29"/>
      <c r="AN802" s="27">
        <v>9</v>
      </c>
      <c r="AT802" s="27">
        <v>159.37</v>
      </c>
      <c r="AU802" s="29"/>
      <c r="AV802" s="29"/>
      <c r="AY802" s="27">
        <v>12</v>
      </c>
      <c r="BC802" s="29"/>
      <c r="BE802" s="27">
        <v>148.56700000000001</v>
      </c>
      <c r="BF802" s="29"/>
      <c r="BG802" s="29"/>
      <c r="BK802" s="27">
        <v>9</v>
      </c>
      <c r="BL802" s="27">
        <v>49.213999999999999</v>
      </c>
      <c r="BM802" s="29"/>
      <c r="BN802" s="29"/>
      <c r="BO802" s="29"/>
    </row>
    <row r="803" spans="1:67" s="27" customFormat="1" ht="20.25" customHeight="1" x14ac:dyDescent="0.45">
      <c r="A803" s="26"/>
      <c r="B803" s="28"/>
      <c r="C803" s="27">
        <f>C802/14</f>
        <v>49.635071428571429</v>
      </c>
      <c r="E803" s="27">
        <f>E802/14</f>
        <v>0.61630267865689781</v>
      </c>
      <c r="H803" s="27">
        <f>(H802-(90*26))/26</f>
        <v>32.743461538461517</v>
      </c>
      <c r="J803" s="27">
        <f>J802/26</f>
        <v>0.59290919760370364</v>
      </c>
      <c r="M803" s="27">
        <f>M802/28</f>
        <v>66.14657142857142</v>
      </c>
      <c r="O803" s="27">
        <f>O802/28</f>
        <v>0.46779814111887813</v>
      </c>
      <c r="R803" s="27">
        <f>(R802-(90*12))/12</f>
        <v>52.579416666666667</v>
      </c>
      <c r="T803" s="27">
        <f>T802/12</f>
        <v>0.46383587514516944</v>
      </c>
      <c r="AB803" s="27" t="s">
        <v>86</v>
      </c>
      <c r="AC803" s="27">
        <v>1</v>
      </c>
      <c r="AH803" s="29"/>
      <c r="AI803" s="27">
        <v>7.2629999999999999</v>
      </c>
      <c r="AJ803" s="27">
        <f>AI804/AI803</f>
        <v>0.66102161641195101</v>
      </c>
      <c r="AL803" s="29"/>
      <c r="AM803" s="29"/>
      <c r="AN803" s="27">
        <v>10</v>
      </c>
      <c r="AT803" s="29"/>
      <c r="AU803" s="27">
        <v>7.5819999999999999</v>
      </c>
      <c r="AV803" s="27">
        <f>AU804/AU803</f>
        <v>0.56673700870482724</v>
      </c>
      <c r="AY803" s="27">
        <v>13</v>
      </c>
      <c r="BC803" s="29"/>
      <c r="BE803" s="29"/>
      <c r="BF803" s="27">
        <v>6.7949999999999999</v>
      </c>
      <c r="BG803" s="27">
        <f>BF804/BF803</f>
        <v>0.59543782192788819</v>
      </c>
      <c r="BK803" s="27">
        <v>10</v>
      </c>
      <c r="BL803" s="29"/>
      <c r="BM803" s="27">
        <v>6.8109999999999999</v>
      </c>
      <c r="BN803" s="27">
        <f>BM804/BM803</f>
        <v>0.63911319923652909</v>
      </c>
      <c r="BO803" s="29"/>
    </row>
    <row r="804" spans="1:67" s="27" customFormat="1" ht="20.25" customHeight="1" x14ac:dyDescent="0.45">
      <c r="A804" s="30" t="s">
        <v>96</v>
      </c>
      <c r="B804" s="25" t="s">
        <v>8</v>
      </c>
      <c r="M804" s="25" t="s">
        <v>10</v>
      </c>
      <c r="AC804" s="27">
        <v>2</v>
      </c>
      <c r="AH804" s="29"/>
      <c r="AI804" s="27">
        <v>4.8010000000000002</v>
      </c>
      <c r="AJ804" s="29"/>
      <c r="AL804" s="29"/>
      <c r="AM804" s="29"/>
      <c r="AN804" s="27">
        <v>11</v>
      </c>
      <c r="AT804" s="29"/>
      <c r="AU804" s="27">
        <v>4.2969999999999997</v>
      </c>
      <c r="AV804" s="29"/>
      <c r="AY804" s="27">
        <v>14</v>
      </c>
      <c r="BC804" s="29"/>
      <c r="BE804" s="29"/>
      <c r="BF804" s="27">
        <v>4.0460000000000003</v>
      </c>
      <c r="BG804" s="29"/>
      <c r="BK804" s="27">
        <v>11</v>
      </c>
      <c r="BL804" s="29"/>
      <c r="BM804" s="27">
        <v>4.3529999999999998</v>
      </c>
      <c r="BN804" s="29"/>
      <c r="BO804" s="29"/>
    </row>
    <row r="805" spans="1:67" s="27" customFormat="1" ht="20.25" customHeight="1" x14ac:dyDescent="0.45">
      <c r="A805" s="26"/>
      <c r="B805" s="25" t="s">
        <v>69</v>
      </c>
      <c r="C805" s="27" t="s">
        <v>97</v>
      </c>
      <c r="E805" s="27" t="s">
        <v>79</v>
      </c>
      <c r="G805" s="27" t="s">
        <v>78</v>
      </c>
      <c r="H805" s="27" t="s">
        <v>97</v>
      </c>
      <c r="J805" s="27" t="s">
        <v>79</v>
      </c>
      <c r="M805" s="25" t="s">
        <v>69</v>
      </c>
      <c r="N805" s="27" t="s">
        <v>97</v>
      </c>
      <c r="P805" s="27" t="s">
        <v>79</v>
      </c>
      <c r="R805" s="27" t="s">
        <v>78</v>
      </c>
      <c r="S805" s="27" t="s">
        <v>97</v>
      </c>
      <c r="U805" s="27" t="s">
        <v>79</v>
      </c>
      <c r="AC805" s="27">
        <v>3</v>
      </c>
      <c r="AH805" s="27">
        <v>177.303</v>
      </c>
      <c r="AI805" s="29"/>
      <c r="AJ805" s="29"/>
      <c r="AL805" s="29"/>
      <c r="AM805" s="29"/>
      <c r="AN805" s="27">
        <v>12</v>
      </c>
      <c r="AT805" s="27">
        <v>156.98400000000001</v>
      </c>
      <c r="AU805" s="29"/>
      <c r="AV805" s="29"/>
      <c r="AY805" s="27">
        <v>15</v>
      </c>
      <c r="BC805" s="29"/>
      <c r="BE805" s="27">
        <v>107.161</v>
      </c>
      <c r="BF805" s="29"/>
      <c r="BG805" s="29"/>
      <c r="BK805" s="27">
        <v>12</v>
      </c>
      <c r="BL805" s="27">
        <v>60.604999999999997</v>
      </c>
      <c r="BM805" s="29"/>
      <c r="BN805" s="29"/>
      <c r="BO805" s="29"/>
    </row>
    <row r="806" spans="1:67" s="27" customFormat="1" ht="20.25" customHeight="1" x14ac:dyDescent="0.45">
      <c r="A806" s="26"/>
      <c r="C806" s="27">
        <f>(M803+M679)/2</f>
        <v>65.360035714285715</v>
      </c>
      <c r="E806" s="27">
        <f>(O803+O679)/2</f>
        <v>0.48738569939262921</v>
      </c>
      <c r="H806" s="27">
        <f>(R803+R679)/2</f>
        <v>54.501996212121227</v>
      </c>
      <c r="J806" s="27">
        <f>(T803+T679)/2</f>
        <v>0.476982547705329</v>
      </c>
      <c r="N806" s="27">
        <f>(C803+C658)/2</f>
        <v>55.952285714285708</v>
      </c>
      <c r="P806" s="27">
        <f>(E803+E658)/2</f>
        <v>0.59436372669422632</v>
      </c>
      <c r="S806" s="27">
        <f>(H803+H658)/2</f>
        <v>38.574058894230753</v>
      </c>
      <c r="U806" s="27">
        <f>(J803+J658)/2</f>
        <v>0.58418601218566879</v>
      </c>
      <c r="AC806" s="27">
        <v>4</v>
      </c>
      <c r="AH806" s="29"/>
      <c r="AI806" s="27">
        <v>7.351</v>
      </c>
      <c r="AJ806" s="27">
        <f>AI807/AI806</f>
        <v>0.44864644266086245</v>
      </c>
      <c r="AL806" s="29"/>
      <c r="AM806" s="27" t="s">
        <v>98</v>
      </c>
      <c r="AN806" s="27">
        <v>1</v>
      </c>
      <c r="AO806" s="29"/>
      <c r="AP806" s="27">
        <v>9.4589999999999996</v>
      </c>
      <c r="AQ806" s="27">
        <f>AP807/AP806</f>
        <v>0.33016175071360615</v>
      </c>
      <c r="AX806" s="27" t="s">
        <v>93</v>
      </c>
      <c r="AY806" s="27">
        <v>1</v>
      </c>
      <c r="BC806" s="29"/>
      <c r="BE806" s="29"/>
      <c r="BF806" s="27">
        <v>8.1560000000000006</v>
      </c>
      <c r="BG806" s="27">
        <f>BF807/BF806</f>
        <v>0.49301128003923489</v>
      </c>
      <c r="BK806" s="27">
        <v>1</v>
      </c>
      <c r="BL806" s="29"/>
      <c r="BM806" s="27">
        <v>11.039</v>
      </c>
      <c r="BN806" s="27">
        <f>BM807/BM806</f>
        <v>0.28580487362985779</v>
      </c>
      <c r="BO806" s="29"/>
    </row>
    <row r="807" spans="1:67" s="27" customFormat="1" ht="20.25" customHeight="1" x14ac:dyDescent="0.45">
      <c r="A807" s="30" t="s">
        <v>99</v>
      </c>
      <c r="B807" s="25" t="s">
        <v>8</v>
      </c>
      <c r="M807" s="25" t="s">
        <v>10</v>
      </c>
      <c r="AC807" s="27">
        <v>5</v>
      </c>
      <c r="AH807" s="29"/>
      <c r="AI807" s="27">
        <v>3.298</v>
      </c>
      <c r="AJ807" s="29"/>
      <c r="AL807" s="29"/>
      <c r="AM807" s="29"/>
      <c r="AN807" s="27">
        <v>2</v>
      </c>
      <c r="AO807" s="29"/>
      <c r="AP807" s="27">
        <v>3.1230000000000002</v>
      </c>
      <c r="AQ807" s="29"/>
      <c r="AY807" s="27">
        <v>2</v>
      </c>
      <c r="BC807" s="29"/>
      <c r="BF807" s="27">
        <v>4.0209999999999999</v>
      </c>
      <c r="BG807" s="29"/>
      <c r="BK807" s="27">
        <v>2</v>
      </c>
      <c r="BL807" s="29"/>
      <c r="BM807" s="27">
        <v>3.1549999999999998</v>
      </c>
      <c r="BN807" s="29"/>
      <c r="BO807" s="29"/>
    </row>
    <row r="808" spans="1:67" s="27" customFormat="1" ht="20.25" customHeight="1" x14ac:dyDescent="0.45">
      <c r="A808" s="26"/>
      <c r="B808" s="25" t="s">
        <v>69</v>
      </c>
      <c r="C808" s="27" t="s">
        <v>97</v>
      </c>
      <c r="E808" s="27" t="s">
        <v>79</v>
      </c>
      <c r="G808" s="27" t="s">
        <v>78</v>
      </c>
      <c r="H808" s="27" t="s">
        <v>97</v>
      </c>
      <c r="J808" s="27" t="s">
        <v>79</v>
      </c>
      <c r="M808" s="25" t="s">
        <v>69</v>
      </c>
      <c r="N808" s="27" t="s">
        <v>97</v>
      </c>
      <c r="P808" s="27" t="s">
        <v>79</v>
      </c>
      <c r="R808" s="27" t="s">
        <v>78</v>
      </c>
      <c r="S808" s="27" t="s">
        <v>97</v>
      </c>
      <c r="U808" s="27" t="s">
        <v>79</v>
      </c>
      <c r="AC808" s="27">
        <v>6</v>
      </c>
      <c r="AH808" s="27">
        <v>137.90299999999999</v>
      </c>
      <c r="AI808" s="29"/>
      <c r="AJ808" s="29"/>
      <c r="AL808" s="29"/>
      <c r="AM808" s="29"/>
      <c r="AN808" s="27">
        <v>3</v>
      </c>
      <c r="AO808" s="27">
        <v>89.14</v>
      </c>
      <c r="AP808" s="29"/>
      <c r="AQ808" s="29"/>
      <c r="AY808" s="27">
        <v>3</v>
      </c>
      <c r="BC808" s="29"/>
      <c r="BE808" s="27">
        <v>146.768</v>
      </c>
      <c r="BF808" s="29"/>
      <c r="BG808" s="29"/>
      <c r="BK808" s="27">
        <v>3</v>
      </c>
      <c r="BL808" s="27">
        <v>80.953000000000003</v>
      </c>
      <c r="BM808" s="29"/>
      <c r="BN808" s="29"/>
      <c r="BO808" s="29"/>
    </row>
    <row r="809" spans="1:67" s="27" customFormat="1" ht="20.25" customHeight="1" x14ac:dyDescent="0.45">
      <c r="A809" s="26"/>
      <c r="C809" s="27">
        <f>(AJ706+AJ576+M477)/3</f>
        <v>67.878619180107535</v>
      </c>
      <c r="E809" s="27">
        <f>(AL706+AL576+O477)/3</f>
        <v>0.47592847696069551</v>
      </c>
      <c r="H809" s="27">
        <f>(AO706+AO576+R477)/3</f>
        <v>65.299976845376833</v>
      </c>
      <c r="J809" s="27">
        <f>(AQ706+AQ576+T477)/3</f>
        <v>0.44193830848002968</v>
      </c>
      <c r="M809" s="28"/>
      <c r="N809" s="27">
        <f>(Z730+Z591+C456)/3</f>
        <v>58.486083570750246</v>
      </c>
      <c r="P809" s="27">
        <f>(AB730+AB591+E456)/3</f>
        <v>0.55259246151513797</v>
      </c>
      <c r="S809" s="27">
        <f>(AE730+AE592+H456)/3</f>
        <v>44.005015296978989</v>
      </c>
      <c r="U809" s="27">
        <f>(AG730+AG592+J456)/3</f>
        <v>0.62742550484079551</v>
      </c>
      <c r="AC809" s="27">
        <v>7</v>
      </c>
      <c r="AH809" s="29"/>
      <c r="AI809" s="27">
        <v>6.6909999999999998</v>
      </c>
      <c r="AJ809" s="27">
        <f>AI810/AI809</f>
        <v>0.64340158421760574</v>
      </c>
      <c r="AL809" s="29"/>
      <c r="AM809" s="29"/>
      <c r="AN809" s="27">
        <v>4</v>
      </c>
      <c r="AT809" s="29"/>
      <c r="AU809" s="27">
        <v>9.1029999999999998</v>
      </c>
      <c r="AV809" s="27">
        <f>AU810/AU809</f>
        <v>0.40547072393716355</v>
      </c>
      <c r="AY809" s="27">
        <v>4</v>
      </c>
      <c r="AZ809" s="29"/>
      <c r="BA809" s="27">
        <v>7.8250000000000002</v>
      </c>
      <c r="BB809" s="27">
        <f>BA810/BA809</f>
        <v>0.51361022364217257</v>
      </c>
      <c r="BC809" s="29"/>
      <c r="BK809" s="27">
        <v>1</v>
      </c>
      <c r="BL809" s="29"/>
      <c r="BM809" s="27">
        <v>8.5060000000000002</v>
      </c>
      <c r="BN809" s="27">
        <f>BM810/BM809</f>
        <v>0.53044909475664226</v>
      </c>
      <c r="BO809" s="29"/>
    </row>
    <row r="810" spans="1:67" s="27" customFormat="1" ht="20.25" customHeight="1" x14ac:dyDescent="0.45">
      <c r="A810" s="26"/>
      <c r="B810" s="28"/>
      <c r="AC810" s="27">
        <v>8</v>
      </c>
      <c r="AH810" s="29"/>
      <c r="AI810" s="27">
        <v>4.3049999999999997</v>
      </c>
      <c r="AJ810" s="29"/>
      <c r="AL810" s="29"/>
      <c r="AM810" s="29"/>
      <c r="AN810" s="27">
        <v>5</v>
      </c>
      <c r="AT810" s="29"/>
      <c r="AU810" s="27">
        <v>3.6909999999999998</v>
      </c>
      <c r="AV810" s="29"/>
      <c r="AY810" s="27">
        <v>5</v>
      </c>
      <c r="AZ810" s="29"/>
      <c r="BA810" s="27">
        <v>4.0190000000000001</v>
      </c>
      <c r="BB810" s="29"/>
      <c r="BC810" s="29"/>
      <c r="BK810" s="27">
        <v>2</v>
      </c>
      <c r="BL810" s="29"/>
      <c r="BM810" s="27">
        <v>4.5119999999999996</v>
      </c>
      <c r="BN810" s="29"/>
      <c r="BO810" s="29"/>
    </row>
    <row r="811" spans="1:67" s="27" customFormat="1" ht="20.25" customHeight="1" x14ac:dyDescent="0.45">
      <c r="A811" s="26"/>
      <c r="B811" s="28"/>
      <c r="C811" s="29"/>
      <c r="E811" s="29"/>
      <c r="H811" s="29"/>
      <c r="J811" s="29"/>
      <c r="N811" s="29"/>
      <c r="P811" s="29"/>
      <c r="S811" s="29"/>
      <c r="U811" s="29"/>
      <c r="AC811" s="27">
        <v>9</v>
      </c>
      <c r="AH811" s="27">
        <v>153.065</v>
      </c>
      <c r="AI811" s="29"/>
      <c r="AJ811" s="29"/>
      <c r="AL811" s="29"/>
      <c r="AM811" s="29"/>
      <c r="AN811" s="27">
        <v>6</v>
      </c>
      <c r="AT811" s="27">
        <v>147.86699999999999</v>
      </c>
      <c r="AU811" s="29"/>
      <c r="AV811" s="29"/>
      <c r="AY811" s="27">
        <v>6</v>
      </c>
      <c r="AZ811" s="27">
        <v>16.163</v>
      </c>
      <c r="BA811" s="29"/>
      <c r="BB811" s="29"/>
      <c r="BC811" s="29"/>
      <c r="BK811" s="27">
        <v>3</v>
      </c>
      <c r="BL811" s="27">
        <v>85.525999999999996</v>
      </c>
      <c r="BM811" s="29"/>
      <c r="BN811" s="29"/>
      <c r="BO811" s="29"/>
    </row>
    <row r="812" spans="1:67" s="27" customFormat="1" ht="20.25" customHeight="1" x14ac:dyDescent="0.45">
      <c r="A812" s="26"/>
      <c r="B812" s="28"/>
      <c r="AB812" s="27" t="s">
        <v>94</v>
      </c>
      <c r="AC812" s="27">
        <v>1</v>
      </c>
      <c r="AH812" s="29"/>
      <c r="AI812" s="27">
        <v>8.2590000000000003</v>
      </c>
      <c r="AJ812" s="27">
        <f>AI813/AI812</f>
        <v>0.43625136215038141</v>
      </c>
      <c r="AL812" s="29"/>
      <c r="AM812" s="29"/>
      <c r="AN812" s="27">
        <v>7</v>
      </c>
      <c r="AO812" s="29"/>
      <c r="AP812" s="27">
        <v>9.7609999999999992</v>
      </c>
      <c r="AQ812" s="27">
        <f>AP813/AP812</f>
        <v>0.38182563261960867</v>
      </c>
      <c r="AX812" s="27" t="s">
        <v>85</v>
      </c>
      <c r="AY812" s="27">
        <v>1</v>
      </c>
      <c r="BC812" s="29"/>
      <c r="BE812" s="29"/>
      <c r="BF812" s="27">
        <v>5.5979999999999999</v>
      </c>
      <c r="BG812" s="27">
        <f>BF813/BF812</f>
        <v>0.99785637727759924</v>
      </c>
      <c r="BK812" s="27">
        <v>4</v>
      </c>
      <c r="BL812" s="29"/>
      <c r="BM812" s="27">
        <v>4.6390000000000002</v>
      </c>
      <c r="BN812" s="27">
        <f>BM813/BM812</f>
        <v>0.56175899978443622</v>
      </c>
      <c r="BO812" s="29"/>
    </row>
    <row r="813" spans="1:67" s="27" customFormat="1" ht="20.25" customHeight="1" x14ac:dyDescent="0.45">
      <c r="A813" s="30" t="s">
        <v>100</v>
      </c>
      <c r="B813" s="25" t="s">
        <v>8</v>
      </c>
      <c r="M813" s="25" t="s">
        <v>10</v>
      </c>
      <c r="AC813" s="27">
        <v>2</v>
      </c>
      <c r="AH813" s="29"/>
      <c r="AI813" s="27">
        <v>3.6030000000000002</v>
      </c>
      <c r="AJ813" s="29"/>
      <c r="AL813" s="29"/>
      <c r="AM813" s="29"/>
      <c r="AN813" s="27">
        <v>8</v>
      </c>
      <c r="AO813" s="29"/>
      <c r="AP813" s="27">
        <v>3.7269999999999999</v>
      </c>
      <c r="AQ813" s="29"/>
      <c r="AY813" s="27">
        <v>2</v>
      </c>
      <c r="BC813" s="29"/>
      <c r="BE813" s="29"/>
      <c r="BF813" s="27">
        <v>5.5860000000000003</v>
      </c>
      <c r="BG813" s="29"/>
      <c r="BK813" s="27">
        <v>5</v>
      </c>
      <c r="BL813" s="29"/>
      <c r="BM813" s="27">
        <v>2.6059999999999999</v>
      </c>
      <c r="BN813" s="29"/>
      <c r="BO813" s="29"/>
    </row>
    <row r="814" spans="1:67" s="27" customFormat="1" ht="20.25" customHeight="1" x14ac:dyDescent="0.45">
      <c r="A814" s="26"/>
      <c r="B814" s="25" t="s">
        <v>69</v>
      </c>
      <c r="C814" s="27" t="s">
        <v>97</v>
      </c>
      <c r="E814" s="27" t="s">
        <v>79</v>
      </c>
      <c r="G814" s="27" t="s">
        <v>78</v>
      </c>
      <c r="H814" s="27" t="s">
        <v>97</v>
      </c>
      <c r="J814" s="27" t="s">
        <v>79</v>
      </c>
      <c r="M814" s="25" t="s">
        <v>69</v>
      </c>
      <c r="N814" s="27" t="s">
        <v>97</v>
      </c>
      <c r="P814" s="27" t="s">
        <v>79</v>
      </c>
      <c r="R814" s="27" t="s">
        <v>78</v>
      </c>
      <c r="S814" s="27" t="s">
        <v>97</v>
      </c>
      <c r="U814" s="27" t="s">
        <v>79</v>
      </c>
      <c r="AC814" s="27">
        <v>3</v>
      </c>
      <c r="AH814" s="27">
        <v>100.94499999999999</v>
      </c>
      <c r="AI814" s="29"/>
      <c r="AJ814" s="29"/>
      <c r="AL814" s="29"/>
      <c r="AM814" s="29"/>
      <c r="AN814" s="27">
        <v>9</v>
      </c>
      <c r="AO814" s="27">
        <v>82.44</v>
      </c>
      <c r="AP814" s="29"/>
      <c r="AQ814" s="29"/>
      <c r="AY814" s="27">
        <v>3</v>
      </c>
      <c r="BC814" s="29"/>
      <c r="BE814" s="27">
        <v>92.384</v>
      </c>
      <c r="BF814" s="29"/>
      <c r="BG814" s="29"/>
      <c r="BK814" s="27">
        <v>6</v>
      </c>
      <c r="BL814" s="27">
        <v>68.022999999999996</v>
      </c>
      <c r="BM814" s="29"/>
      <c r="BN814" s="29"/>
      <c r="BO814" s="29"/>
    </row>
    <row r="815" spans="1:67" s="27" customFormat="1" ht="20.25" customHeight="1" x14ac:dyDescent="0.45">
      <c r="A815" s="26"/>
      <c r="B815" s="29"/>
      <c r="C815" s="27">
        <f>AO901</f>
        <v>66.409878787878782</v>
      </c>
      <c r="D815" s="29"/>
      <c r="E815" s="27">
        <f>AQ901</f>
        <v>0.44306058828135086</v>
      </c>
      <c r="F815" s="29"/>
      <c r="G815" s="29"/>
      <c r="H815" s="27">
        <f>AT901</f>
        <v>63.688764705882342</v>
      </c>
      <c r="J815" s="27">
        <f>AV901</f>
        <v>0.49893259147389935</v>
      </c>
      <c r="M815" s="29"/>
      <c r="N815" s="27">
        <f>AD901</f>
        <v>58.279999999999994</v>
      </c>
      <c r="O815" s="29"/>
      <c r="P815" s="27">
        <f>AF901</f>
        <v>0.55261308921428653</v>
      </c>
      <c r="R815" s="29"/>
      <c r="S815" s="27">
        <f>AH901</f>
        <v>35.420609756097555</v>
      </c>
      <c r="T815" s="29"/>
      <c r="U815" s="27">
        <f>AJ901</f>
        <v>0.57172779038535704</v>
      </c>
      <c r="AC815" s="27">
        <v>4</v>
      </c>
      <c r="AH815" s="29"/>
      <c r="AI815" s="27">
        <v>7.0060000000000002</v>
      </c>
      <c r="AJ815" s="27">
        <f>AI816/AI815</f>
        <v>0.67870396802740507</v>
      </c>
      <c r="AL815" s="29"/>
      <c r="AM815" s="29"/>
      <c r="AN815" s="27">
        <v>10</v>
      </c>
      <c r="AO815" s="29"/>
      <c r="AP815" s="27">
        <v>9.3710000000000004</v>
      </c>
      <c r="AQ815" s="27">
        <f>AP816/AP815</f>
        <v>0.74634510724575809</v>
      </c>
      <c r="AY815" s="27">
        <v>4</v>
      </c>
      <c r="BC815" s="29"/>
      <c r="BE815" s="29"/>
      <c r="BF815" s="27">
        <v>8.3729999999999993</v>
      </c>
      <c r="BG815" s="27">
        <f>BF816/BF815</f>
        <v>0.45431744894303117</v>
      </c>
      <c r="BK815" s="27">
        <v>1</v>
      </c>
      <c r="BL815" s="29"/>
      <c r="BM815" s="27">
        <v>11.321</v>
      </c>
      <c r="BN815" s="27">
        <f>BM816/BM815</f>
        <v>0.35677060330359506</v>
      </c>
      <c r="BO815" s="29"/>
    </row>
    <row r="816" spans="1:67" s="27" customFormat="1" ht="20.25" customHeight="1" x14ac:dyDescent="0.45">
      <c r="A816" s="30" t="s">
        <v>101</v>
      </c>
      <c r="B816" s="25" t="s">
        <v>8</v>
      </c>
      <c r="M816" s="25" t="s">
        <v>10</v>
      </c>
      <c r="AC816" s="27">
        <v>5</v>
      </c>
      <c r="AH816" s="29"/>
      <c r="AI816" s="27">
        <v>4.7549999999999999</v>
      </c>
      <c r="AJ816" s="29"/>
      <c r="AL816" s="29"/>
      <c r="AM816" s="29"/>
      <c r="AN816" s="27">
        <v>11</v>
      </c>
      <c r="AO816" s="29"/>
      <c r="AP816" s="27">
        <v>6.9939999999999998</v>
      </c>
      <c r="AQ816" s="29"/>
      <c r="AY816" s="27">
        <v>5</v>
      </c>
      <c r="BC816" s="29"/>
      <c r="BE816" s="29"/>
      <c r="BF816" s="27">
        <v>3.8039999999999998</v>
      </c>
      <c r="BG816" s="29"/>
      <c r="BK816" s="27">
        <v>2</v>
      </c>
      <c r="BL816" s="29"/>
      <c r="BM816" s="27">
        <v>4.0389999999999997</v>
      </c>
      <c r="BN816" s="29"/>
      <c r="BO816" s="29"/>
    </row>
    <row r="817" spans="1:72" s="27" customFormat="1" ht="20.25" customHeight="1" x14ac:dyDescent="0.45">
      <c r="A817" s="26"/>
      <c r="B817" s="25" t="s">
        <v>69</v>
      </c>
      <c r="C817" s="27" t="s">
        <v>97</v>
      </c>
      <c r="E817" s="27" t="s">
        <v>79</v>
      </c>
      <c r="G817" s="27" t="s">
        <v>78</v>
      </c>
      <c r="H817" s="27" t="s">
        <v>97</v>
      </c>
      <c r="J817" s="27" t="s">
        <v>79</v>
      </c>
      <c r="M817" s="25" t="s">
        <v>69</v>
      </c>
      <c r="N817" s="27" t="s">
        <v>97</v>
      </c>
      <c r="P817" s="27" t="s">
        <v>79</v>
      </c>
      <c r="R817" s="27" t="s">
        <v>78</v>
      </c>
      <c r="S817" s="27" t="s">
        <v>97</v>
      </c>
      <c r="U817" s="27" t="s">
        <v>79</v>
      </c>
      <c r="AC817" s="27">
        <v>6</v>
      </c>
      <c r="AH817" s="27">
        <v>98.064999999999998</v>
      </c>
      <c r="AI817" s="29"/>
      <c r="AJ817" s="29"/>
      <c r="AL817" s="29"/>
      <c r="AM817" s="29"/>
      <c r="AN817" s="27">
        <v>12</v>
      </c>
      <c r="AO817" s="27">
        <v>68.680999999999997</v>
      </c>
      <c r="AP817" s="29"/>
      <c r="AQ817" s="29"/>
      <c r="AY817" s="27">
        <v>6</v>
      </c>
      <c r="BC817" s="29"/>
      <c r="BE817" s="27">
        <v>176.65100000000001</v>
      </c>
      <c r="BF817" s="29"/>
      <c r="BG817" s="29"/>
      <c r="BK817" s="27">
        <v>3</v>
      </c>
      <c r="BL817" s="27">
        <v>47.468000000000004</v>
      </c>
      <c r="BM817" s="29"/>
      <c r="BN817" s="29"/>
      <c r="BO817" s="29"/>
    </row>
    <row r="818" spans="1:72" s="27" customFormat="1" ht="20.25" customHeight="1" x14ac:dyDescent="0.45">
      <c r="A818" s="26"/>
      <c r="C818" s="27">
        <f>BL901</f>
        <v>68.39365217391304</v>
      </c>
      <c r="E818" s="27">
        <f>BN901</f>
        <v>0.45411730021872504</v>
      </c>
      <c r="H818" s="27">
        <f>BR901</f>
        <v>55.268571428571427</v>
      </c>
      <c r="J818" s="27">
        <f>BT901</f>
        <v>0.53559891214076383</v>
      </c>
      <c r="N818" s="27">
        <f>AZ901</f>
        <v>56.693444444444438</v>
      </c>
      <c r="P818" s="27">
        <f>BB901</f>
        <v>0.6414888843233254</v>
      </c>
      <c r="S818" s="27">
        <f>BE901</f>
        <v>46.913953488372051</v>
      </c>
      <c r="U818" s="27">
        <f>BG901</f>
        <v>0.58111037869834203</v>
      </c>
      <c r="AC818" s="27">
        <v>7</v>
      </c>
      <c r="AH818" s="29"/>
      <c r="AI818" s="27">
        <v>7.0449999999999999</v>
      </c>
      <c r="AJ818" s="27">
        <f>AI819/AI818</f>
        <v>0.62682753726046847</v>
      </c>
      <c r="AL818" s="29"/>
      <c r="AM818" s="29"/>
      <c r="AN818" s="27">
        <v>13</v>
      </c>
      <c r="AO818" s="29"/>
      <c r="AP818" s="27">
        <v>8.35</v>
      </c>
      <c r="AQ818" s="27">
        <f>AP819/AP818</f>
        <v>0.56946107784431144</v>
      </c>
      <c r="AY818" s="27">
        <v>7</v>
      </c>
      <c r="BC818" s="29"/>
      <c r="BE818" s="29"/>
      <c r="BF818" s="27">
        <v>8.1649999999999991</v>
      </c>
      <c r="BG818" s="27">
        <f>BF819/BF818</f>
        <v>0.69957134109001839</v>
      </c>
      <c r="BK818" s="27">
        <v>4</v>
      </c>
      <c r="BO818" s="29"/>
      <c r="BR818" s="29"/>
      <c r="BS818" s="27">
        <v>8.8930000000000007</v>
      </c>
      <c r="BT818" s="27">
        <f>BS819/BS818</f>
        <v>0.39592938266051947</v>
      </c>
    </row>
    <row r="819" spans="1:72" s="27" customFormat="1" ht="20.25" customHeight="1" x14ac:dyDescent="0.45">
      <c r="A819" s="26"/>
      <c r="B819" s="28"/>
      <c r="AC819" s="27">
        <v>8</v>
      </c>
      <c r="AH819" s="29"/>
      <c r="AI819" s="27">
        <v>4.4160000000000004</v>
      </c>
      <c r="AJ819" s="29"/>
      <c r="AL819" s="29"/>
      <c r="AM819" s="29"/>
      <c r="AN819" s="27">
        <v>14</v>
      </c>
      <c r="AO819" s="29"/>
      <c r="AP819" s="27">
        <v>4.7549999999999999</v>
      </c>
      <c r="AQ819" s="29"/>
      <c r="AY819" s="27">
        <v>8</v>
      </c>
      <c r="BC819" s="29"/>
      <c r="BE819" s="29"/>
      <c r="BF819" s="27">
        <v>5.7119999999999997</v>
      </c>
      <c r="BG819" s="29"/>
      <c r="BK819" s="27">
        <v>5</v>
      </c>
      <c r="BO819" s="29"/>
      <c r="BR819" s="29"/>
      <c r="BS819" s="27">
        <v>3.5209999999999999</v>
      </c>
      <c r="BT819" s="29"/>
    </row>
    <row r="820" spans="1:72" s="27" customFormat="1" ht="20.25" customHeight="1" x14ac:dyDescent="0.45">
      <c r="A820" s="26"/>
      <c r="B820" s="28"/>
      <c r="AC820" s="27">
        <v>9</v>
      </c>
      <c r="AH820" s="27">
        <v>71.558000000000007</v>
      </c>
      <c r="AI820" s="29"/>
      <c r="AJ820" s="29"/>
      <c r="AL820" s="29"/>
      <c r="AM820" s="29"/>
      <c r="AN820" s="27">
        <v>15</v>
      </c>
      <c r="AO820" s="27">
        <v>64.623000000000005</v>
      </c>
      <c r="AP820" s="29"/>
      <c r="AQ820" s="29"/>
      <c r="AY820" s="27">
        <v>9</v>
      </c>
      <c r="BC820" s="29"/>
      <c r="BE820" s="27">
        <v>160.45400000000001</v>
      </c>
      <c r="BF820" s="29"/>
      <c r="BG820" s="29"/>
      <c r="BK820" s="27">
        <v>6</v>
      </c>
      <c r="BO820" s="29"/>
      <c r="BR820" s="27">
        <v>158.62899999999999</v>
      </c>
      <c r="BS820" s="29"/>
      <c r="BT820" s="29"/>
    </row>
    <row r="821" spans="1:72" s="27" customFormat="1" ht="20.25" customHeight="1" x14ac:dyDescent="0.45">
      <c r="A821" s="26"/>
      <c r="B821" s="25" t="s">
        <v>102</v>
      </c>
      <c r="C821" s="27">
        <f>AVERAGE(C806,C809,C815,C818)</f>
        <v>67.010546464046271</v>
      </c>
      <c r="E821" s="27">
        <f>AVERAGE(E806,E809,E815,E818)</f>
        <v>0.46512301621335017</v>
      </c>
      <c r="H821" s="27">
        <f>AVERAGE(H806,H809,H815,H818)</f>
        <v>59.689827297987954</v>
      </c>
      <c r="J821" s="27">
        <f>AVERAGE(J806,J809,J815,J818)</f>
        <v>0.48836308995000549</v>
      </c>
      <c r="N821" s="27">
        <f>AVERAGE(N806,N809,N815,N818)</f>
        <v>57.3529534323701</v>
      </c>
      <c r="P821" s="27">
        <f>AVERAGE(P806,P809,P815,P818)</f>
        <v>0.58526454043674414</v>
      </c>
      <c r="S821" s="27">
        <f>AVERAGE(S806,S809,S815,S818)</f>
        <v>41.228409358919833</v>
      </c>
      <c r="U821" s="27">
        <f>AVERAGE(U806,U809,U815,U818)</f>
        <v>0.59111242152754084</v>
      </c>
      <c r="AC821" s="27">
        <v>10</v>
      </c>
      <c r="AH821" s="29"/>
      <c r="AI821" s="27">
        <v>6.5039999999999996</v>
      </c>
      <c r="AJ821" s="27">
        <f>AI822/AI821</f>
        <v>0.63038130381303814</v>
      </c>
      <c r="AL821" s="29"/>
      <c r="AM821" s="29"/>
      <c r="AN821" s="27">
        <v>16</v>
      </c>
      <c r="AO821" s="29"/>
      <c r="AP821" s="27">
        <v>10.826000000000001</v>
      </c>
      <c r="AQ821" s="27">
        <f>AP822/AP821</f>
        <v>0.43183077775725104</v>
      </c>
      <c r="AX821" s="27" t="s">
        <v>103</v>
      </c>
      <c r="AY821" s="27">
        <v>1</v>
      </c>
      <c r="BC821" s="29"/>
      <c r="BE821" s="29"/>
      <c r="BF821" s="27">
        <v>8.1780000000000008</v>
      </c>
      <c r="BG821" s="27">
        <f>BF822/BF821</f>
        <v>0.40926876987038391</v>
      </c>
      <c r="BK821" s="27">
        <v>1</v>
      </c>
      <c r="BL821" s="29"/>
      <c r="BM821" s="27">
        <v>14.329000000000001</v>
      </c>
      <c r="BN821" s="27">
        <f>BM822/BM821</f>
        <v>0.33428711005652872</v>
      </c>
      <c r="BO821" s="29"/>
    </row>
    <row r="822" spans="1:72" s="27" customFormat="1" ht="20.25" customHeight="1" x14ac:dyDescent="0.45">
      <c r="A822" s="26"/>
      <c r="B822" s="25" t="s">
        <v>104</v>
      </c>
      <c r="C822" s="27">
        <f>STDEV(C806,C809,C815,C818)</f>
        <v>1.3846201690119018</v>
      </c>
      <c r="E822" s="27">
        <f>STDEV(E806,E809,E815,E818)</f>
        <v>2.016813952014733E-2</v>
      </c>
      <c r="H822" s="27">
        <f>STDEV(H806,H809,H815,H818)</f>
        <v>5.5954259049888222</v>
      </c>
      <c r="J822" s="27">
        <f>STDEV(J806,J809,J815,J818)</f>
        <v>3.9275583326109059E-2</v>
      </c>
      <c r="N822" s="27">
        <f>STDEV(N806,N809,N815,N818)</f>
        <v>1.2302061359379635</v>
      </c>
      <c r="P822" s="27">
        <f>STDEV(P806,P809,P815,P818)</f>
        <v>4.2338139008137377E-2</v>
      </c>
      <c r="S822" s="27">
        <f>STDEV(S806,S809,S815,S818)</f>
        <v>5.1900887981855037</v>
      </c>
      <c r="U822" s="27">
        <f>STDEV(U806,U809,U815,U818)</f>
        <v>2.4781847868700163E-2</v>
      </c>
      <c r="AC822" s="27">
        <v>11</v>
      </c>
      <c r="AH822" s="29"/>
      <c r="AI822" s="27">
        <v>4.0999999999999996</v>
      </c>
      <c r="AJ822" s="29"/>
      <c r="AL822" s="29"/>
      <c r="AM822" s="29"/>
      <c r="AN822" s="27">
        <v>17</v>
      </c>
      <c r="AO822" s="29"/>
      <c r="AP822" s="27">
        <v>4.6749999999999998</v>
      </c>
      <c r="AQ822" s="29"/>
      <c r="AY822" s="27">
        <v>2</v>
      </c>
      <c r="BC822" s="29"/>
      <c r="BE822" s="29"/>
      <c r="BF822" s="27">
        <v>3.347</v>
      </c>
      <c r="BG822" s="29"/>
      <c r="BK822" s="27">
        <v>2</v>
      </c>
      <c r="BL822" s="29"/>
      <c r="BM822" s="27">
        <v>4.79</v>
      </c>
      <c r="BN822" s="29"/>
      <c r="BO822" s="29"/>
    </row>
    <row r="823" spans="1:72" s="27" customFormat="1" ht="20.25" customHeight="1" x14ac:dyDescent="0.45">
      <c r="A823" s="26"/>
      <c r="B823" s="28"/>
      <c r="AC823" s="27">
        <v>12</v>
      </c>
      <c r="AH823" s="27">
        <v>13.548999999999999</v>
      </c>
      <c r="AI823" s="29"/>
      <c r="AJ823" s="29"/>
      <c r="AL823" s="29"/>
      <c r="AM823" s="29"/>
      <c r="AN823" s="27">
        <v>18</v>
      </c>
      <c r="AO823" s="27">
        <v>64.212999999999994</v>
      </c>
      <c r="AP823" s="29"/>
      <c r="AQ823" s="29"/>
      <c r="AY823" s="27">
        <v>3</v>
      </c>
      <c r="BC823" s="29"/>
      <c r="BE823" s="27">
        <v>96.706000000000003</v>
      </c>
      <c r="BF823" s="29"/>
      <c r="BG823" s="29"/>
      <c r="BK823" s="27">
        <v>3</v>
      </c>
      <c r="BL823" s="27">
        <v>74.762</v>
      </c>
      <c r="BM823" s="29"/>
      <c r="BN823" s="29"/>
      <c r="BO823" s="29"/>
    </row>
    <row r="824" spans="1:72" s="27" customFormat="1" ht="20.25" customHeight="1" x14ac:dyDescent="0.45">
      <c r="A824" s="26"/>
      <c r="B824" s="28"/>
      <c r="AC824" s="27">
        <v>13</v>
      </c>
      <c r="AH824" s="29"/>
      <c r="AI824" s="27">
        <v>5.625</v>
      </c>
      <c r="AJ824" s="27">
        <f>AI825/AI824</f>
        <v>0.80195555555555553</v>
      </c>
      <c r="AL824" s="29"/>
      <c r="AM824" s="29"/>
      <c r="AN824" s="27">
        <v>19</v>
      </c>
      <c r="AO824" s="29"/>
      <c r="AP824" s="27">
        <v>8.75</v>
      </c>
      <c r="AQ824" s="27">
        <f>AP825/AP824</f>
        <v>0.4824</v>
      </c>
      <c r="AY824" s="27">
        <v>4</v>
      </c>
      <c r="BC824" s="29"/>
      <c r="BE824" s="29"/>
      <c r="BF824" s="27">
        <v>6.42</v>
      </c>
      <c r="BG824" s="27">
        <f>BF825/BF824</f>
        <v>0.57414330218068532</v>
      </c>
      <c r="BK824" s="27">
        <v>4</v>
      </c>
      <c r="BL824" s="29"/>
      <c r="BM824" s="27">
        <v>8.1289999999999996</v>
      </c>
      <c r="BN824" s="27">
        <f>BM825/BM824</f>
        <v>0.33669578053881172</v>
      </c>
      <c r="BO824" s="29"/>
    </row>
    <row r="825" spans="1:72" s="27" customFormat="1" ht="20.25" customHeight="1" x14ac:dyDescent="0.45">
      <c r="A825" s="26"/>
      <c r="B825" s="28"/>
      <c r="H825" s="29"/>
      <c r="AC825" s="27">
        <v>14</v>
      </c>
      <c r="AH825" s="29"/>
      <c r="AI825" s="27">
        <v>4.5110000000000001</v>
      </c>
      <c r="AJ825" s="29"/>
      <c r="AL825" s="29"/>
      <c r="AM825" s="29"/>
      <c r="AN825" s="27">
        <v>20</v>
      </c>
      <c r="AO825" s="29"/>
      <c r="AP825" s="27">
        <v>4.2210000000000001</v>
      </c>
      <c r="AQ825" s="29"/>
      <c r="AY825" s="27">
        <v>5</v>
      </c>
      <c r="BC825" s="29"/>
      <c r="BE825" s="29"/>
      <c r="BF825" s="27">
        <v>3.6859999999999999</v>
      </c>
      <c r="BG825" s="29"/>
      <c r="BK825" s="27">
        <v>5</v>
      </c>
      <c r="BL825" s="29"/>
      <c r="BM825" s="27">
        <v>2.7370000000000001</v>
      </c>
      <c r="BN825" s="29"/>
      <c r="BO825" s="29"/>
    </row>
    <row r="826" spans="1:72" s="27" customFormat="1" ht="20.25" customHeight="1" x14ac:dyDescent="0.45">
      <c r="A826" s="26"/>
      <c r="B826" s="28"/>
      <c r="H826" s="27" t="s">
        <v>105</v>
      </c>
      <c r="I826" s="27" t="s">
        <v>106</v>
      </c>
      <c r="J826" s="27" t="s">
        <v>107</v>
      </c>
      <c r="K826" s="27" t="s">
        <v>108</v>
      </c>
      <c r="AC826" s="27">
        <v>15</v>
      </c>
      <c r="AH826" s="27">
        <v>28.468</v>
      </c>
      <c r="AI826" s="29"/>
      <c r="AJ826" s="29"/>
      <c r="AL826" s="29"/>
      <c r="AM826" s="29"/>
      <c r="AN826" s="27">
        <v>21</v>
      </c>
      <c r="AO826" s="27">
        <v>53.639000000000003</v>
      </c>
      <c r="AP826" s="29"/>
      <c r="AQ826" s="29"/>
      <c r="AY826" s="27">
        <v>6</v>
      </c>
      <c r="BC826" s="29"/>
      <c r="BE826" s="27">
        <v>117.63200000000001</v>
      </c>
      <c r="BF826" s="29"/>
      <c r="BG826" s="29"/>
      <c r="BK826" s="27">
        <v>6</v>
      </c>
      <c r="BL826" s="27">
        <v>43.613</v>
      </c>
      <c r="BM826" s="29"/>
      <c r="BN826" s="29"/>
      <c r="BO826" s="29"/>
    </row>
    <row r="827" spans="1:72" s="27" customFormat="1" ht="20.25" customHeight="1" x14ac:dyDescent="0.45">
      <c r="A827" s="26"/>
      <c r="B827" s="25" t="s">
        <v>109</v>
      </c>
      <c r="C827" s="27">
        <f>AVERAGE(E806,J806)</f>
        <v>0.4821841235489791</v>
      </c>
      <c r="D827" s="27">
        <f>AVERAGE(P806,U806)</f>
        <v>0.58927486943994756</v>
      </c>
      <c r="G827" s="27" t="s">
        <v>97</v>
      </c>
      <c r="H827" s="27">
        <f>C806</f>
        <v>65.360035714285715</v>
      </c>
      <c r="I827" s="27">
        <f>H806</f>
        <v>54.501996212121227</v>
      </c>
      <c r="J827" s="27">
        <f>N806</f>
        <v>55.952285714285708</v>
      </c>
      <c r="K827" s="27">
        <f>S809</f>
        <v>44.005015296978989</v>
      </c>
      <c r="AB827" s="27" t="s">
        <v>95</v>
      </c>
      <c r="AC827" s="27">
        <v>1</v>
      </c>
      <c r="AH827" s="29"/>
      <c r="AI827" s="27">
        <v>8.9179999999999993</v>
      </c>
      <c r="AJ827" s="27">
        <f>AI828/AI827</f>
        <v>0.62906481273828219</v>
      </c>
      <c r="AL827" s="29"/>
      <c r="AM827" s="29"/>
      <c r="AN827" s="27">
        <v>22</v>
      </c>
      <c r="AO827" s="29"/>
      <c r="AP827" s="27">
        <v>7.0049999999999999</v>
      </c>
      <c r="AQ827" s="27">
        <f>AP828/AP827</f>
        <v>0.8586723768736616</v>
      </c>
      <c r="AY827" s="27">
        <v>7</v>
      </c>
      <c r="BC827" s="29"/>
      <c r="BE827" s="29"/>
      <c r="BF827" s="27">
        <v>6.9930000000000003</v>
      </c>
      <c r="BG827" s="27">
        <f>BF828/BF827</f>
        <v>0.54954954954954949</v>
      </c>
      <c r="BK827" s="27">
        <v>7</v>
      </c>
      <c r="BL827" s="29"/>
      <c r="BM827" s="27">
        <v>5.4550000000000001</v>
      </c>
      <c r="BN827" s="27">
        <f>BM828/BM827</f>
        <v>0.57396883593033909</v>
      </c>
      <c r="BO827" s="29"/>
    </row>
    <row r="828" spans="1:72" s="27" customFormat="1" ht="20.25" customHeight="1" x14ac:dyDescent="0.45">
      <c r="A828" s="26"/>
      <c r="B828" s="28"/>
      <c r="C828" s="27">
        <f>AVERAGE(E809,J809)</f>
        <v>0.4589333927203626</v>
      </c>
      <c r="D828" s="27">
        <f>AVERAGE(P809,U809)</f>
        <v>0.59000898317796668</v>
      </c>
      <c r="G828" s="29"/>
      <c r="H828" s="27">
        <f>C809</f>
        <v>67.878619180107535</v>
      </c>
      <c r="I828" s="27">
        <f>H809</f>
        <v>65.299976845376833</v>
      </c>
      <c r="J828" s="27">
        <f>N809</f>
        <v>58.486083570750246</v>
      </c>
      <c r="K828" s="27">
        <f>S815</f>
        <v>35.420609756097555</v>
      </c>
      <c r="AC828" s="27">
        <v>2</v>
      </c>
      <c r="AH828" s="29"/>
      <c r="AI828" s="27">
        <v>5.61</v>
      </c>
      <c r="AJ828" s="29"/>
      <c r="AL828" s="29"/>
      <c r="AM828" s="29"/>
      <c r="AN828" s="27">
        <v>23</v>
      </c>
      <c r="AO828" s="29"/>
      <c r="AP828" s="27">
        <v>6.0149999999999997</v>
      </c>
      <c r="AQ828" s="29"/>
      <c r="AY828" s="27">
        <v>8</v>
      </c>
      <c r="BC828" s="29"/>
      <c r="BE828" s="29"/>
      <c r="BF828" s="27">
        <v>3.843</v>
      </c>
      <c r="BG828" s="29"/>
      <c r="BK828" s="27">
        <v>8</v>
      </c>
      <c r="BL828" s="29"/>
      <c r="BM828" s="27">
        <v>3.1309999999999998</v>
      </c>
      <c r="BN828" s="29"/>
      <c r="BO828" s="29"/>
    </row>
    <row r="829" spans="1:72" s="27" customFormat="1" ht="20.25" customHeight="1" x14ac:dyDescent="0.45">
      <c r="A829" s="26"/>
      <c r="B829" s="28"/>
      <c r="C829" s="27">
        <f>AVERAGE(E815,J815)</f>
        <v>0.4709965898776251</v>
      </c>
      <c r="D829" s="27">
        <f>AVERAGE(P815,U815)</f>
        <v>0.56217043979982173</v>
      </c>
      <c r="G829" s="29"/>
      <c r="H829" s="27">
        <f>C815</f>
        <v>66.409878787878782</v>
      </c>
      <c r="I829" s="27">
        <f>H815</f>
        <v>63.688764705882342</v>
      </c>
      <c r="J829" s="27">
        <f>N815</f>
        <v>58.279999999999994</v>
      </c>
      <c r="K829" s="27">
        <f>S806</f>
        <v>38.574058894230753</v>
      </c>
      <c r="AC829" s="27">
        <v>3</v>
      </c>
      <c r="AH829" s="27">
        <v>52.088000000000001</v>
      </c>
      <c r="AI829" s="29"/>
      <c r="AJ829" s="29"/>
      <c r="AL829" s="29"/>
      <c r="AM829" s="29"/>
      <c r="AN829" s="27">
        <v>24</v>
      </c>
      <c r="AO829" s="27">
        <v>4.3319999999999999</v>
      </c>
      <c r="AP829" s="29"/>
      <c r="AQ829" s="29"/>
      <c r="AY829" s="27">
        <v>9</v>
      </c>
      <c r="BC829" s="29"/>
      <c r="BE829" s="27">
        <v>162.398</v>
      </c>
      <c r="BF829" s="29"/>
      <c r="BG829" s="29"/>
      <c r="BK829" s="27">
        <v>9</v>
      </c>
      <c r="BL829" s="27">
        <v>76.905000000000001</v>
      </c>
      <c r="BM829" s="29"/>
      <c r="BN829" s="29"/>
      <c r="BO829" s="29"/>
    </row>
    <row r="830" spans="1:72" s="27" customFormat="1" ht="20.25" customHeight="1" x14ac:dyDescent="0.45">
      <c r="A830" s="26"/>
      <c r="B830" s="28"/>
      <c r="C830" s="27">
        <f>AVERAGE(E818,J818)</f>
        <v>0.49485810617974446</v>
      </c>
      <c r="D830" s="27">
        <f>AVERAGE(P818,U818)</f>
        <v>0.61129963151083366</v>
      </c>
      <c r="G830" s="29"/>
      <c r="H830" s="27">
        <f>C818</f>
        <v>68.39365217391304</v>
      </c>
      <c r="I830" s="27">
        <f>H818</f>
        <v>55.268571428571427</v>
      </c>
      <c r="J830" s="27">
        <f>N818</f>
        <v>56.693444444444438</v>
      </c>
      <c r="K830" s="27">
        <f>S818</f>
        <v>46.913953488372051</v>
      </c>
      <c r="AC830" s="27">
        <v>4</v>
      </c>
      <c r="AH830" s="29"/>
      <c r="AI830" s="27">
        <v>7.4089999999999998</v>
      </c>
      <c r="AJ830" s="27">
        <f>AI831/AI830</f>
        <v>0.58253475502766905</v>
      </c>
      <c r="AL830" s="29"/>
      <c r="AM830" s="27" t="s">
        <v>110</v>
      </c>
      <c r="AN830" s="27">
        <v>1</v>
      </c>
      <c r="AO830" s="29"/>
      <c r="AP830" s="27">
        <v>11.904</v>
      </c>
      <c r="AQ830" s="27">
        <f>AP831/AP830</f>
        <v>0.2494959677419355</v>
      </c>
      <c r="AY830" s="27">
        <v>10</v>
      </c>
      <c r="BC830" s="29"/>
      <c r="BE830" s="29"/>
      <c r="BF830" s="27">
        <v>7.0010000000000003</v>
      </c>
      <c r="BG830" s="27">
        <f>BF831/BF830</f>
        <v>0.72603913726610481</v>
      </c>
      <c r="BK830" s="27">
        <v>1</v>
      </c>
      <c r="BL830" s="29"/>
      <c r="BM830" s="27">
        <v>9.032</v>
      </c>
      <c r="BN830" s="27">
        <f>BM831/BM830</f>
        <v>0.50077502214348979</v>
      </c>
      <c r="BO830" s="29"/>
    </row>
    <row r="831" spans="1:72" s="27" customFormat="1" ht="20.25" customHeight="1" x14ac:dyDescent="0.45">
      <c r="A831" s="26"/>
      <c r="B831" s="28"/>
      <c r="C831" s="27">
        <f>AVERAGE(C827:C830)</f>
        <v>0.47674305308167786</v>
      </c>
      <c r="D831" s="27">
        <f>AVERAGE(D827:D830)</f>
        <v>0.58818848098214249</v>
      </c>
      <c r="AC831" s="27">
        <v>5</v>
      </c>
      <c r="AH831" s="29"/>
      <c r="AI831" s="27">
        <v>4.3159999999999998</v>
      </c>
      <c r="AJ831" s="29"/>
      <c r="AL831" s="29"/>
      <c r="AM831" s="29"/>
      <c r="AN831" s="27">
        <v>2</v>
      </c>
      <c r="AO831" s="29"/>
      <c r="AP831" s="27">
        <v>2.97</v>
      </c>
      <c r="AQ831" s="29"/>
      <c r="AY831" s="27">
        <v>11</v>
      </c>
      <c r="BC831" s="29"/>
      <c r="BE831" s="29"/>
      <c r="BF831" s="27">
        <v>5.0830000000000002</v>
      </c>
      <c r="BG831" s="29"/>
      <c r="BK831" s="27">
        <v>2</v>
      </c>
      <c r="BL831" s="29"/>
      <c r="BM831" s="27">
        <v>4.5229999999999997</v>
      </c>
      <c r="BN831" s="29"/>
      <c r="BO831" s="29"/>
    </row>
    <row r="832" spans="1:72" s="27" customFormat="1" ht="20.25" customHeight="1" x14ac:dyDescent="0.45">
      <c r="A832" s="26"/>
      <c r="B832" s="28"/>
      <c r="C832" s="27">
        <f>STDEV(C827:C830)</f>
        <v>1.536192520613705E-2</v>
      </c>
      <c r="D832" s="27">
        <f>STDEV(D827:D830)</f>
        <v>2.0129234244840793E-2</v>
      </c>
      <c r="AC832" s="27">
        <v>6</v>
      </c>
      <c r="AH832" s="27">
        <v>91.173000000000002</v>
      </c>
      <c r="AI832" s="29"/>
      <c r="AJ832" s="29"/>
      <c r="AL832" s="29"/>
      <c r="AM832" s="29"/>
      <c r="AN832" s="27">
        <v>3</v>
      </c>
      <c r="AO832" s="27">
        <v>83.475999999999999</v>
      </c>
      <c r="AP832" s="29"/>
      <c r="AQ832" s="29"/>
      <c r="AY832" s="27">
        <v>12</v>
      </c>
      <c r="BC832" s="29"/>
      <c r="BE832" s="27">
        <v>104.339</v>
      </c>
      <c r="BF832" s="29"/>
      <c r="BG832" s="29"/>
      <c r="BK832" s="27">
        <v>3</v>
      </c>
      <c r="BL832" s="27">
        <v>82.012</v>
      </c>
      <c r="BM832" s="29"/>
      <c r="BN832" s="29"/>
      <c r="BO832" s="29"/>
    </row>
    <row r="833" spans="1:72" s="27" customFormat="1" ht="20.25" customHeight="1" x14ac:dyDescent="0.45">
      <c r="A833" s="26"/>
      <c r="B833" s="25" t="s">
        <v>14</v>
      </c>
      <c r="C833" s="27">
        <f>TTEST(C827:C830,D827:D830,2,2)</f>
        <v>1.1928124889887189E-4</v>
      </c>
      <c r="H833" s="27" t="s">
        <v>111</v>
      </c>
      <c r="I833" s="27" t="s">
        <v>112</v>
      </c>
      <c r="J833" s="27" t="s">
        <v>113</v>
      </c>
      <c r="K833" s="27" t="s">
        <v>114</v>
      </c>
      <c r="L833" s="27" t="s">
        <v>115</v>
      </c>
      <c r="M833" s="27" t="s">
        <v>116</v>
      </c>
      <c r="AC833" s="27">
        <v>7</v>
      </c>
      <c r="AH833" s="29"/>
      <c r="AI833" s="27">
        <v>6.6109999999999998</v>
      </c>
      <c r="AJ833" s="27">
        <f>AI834/AI833</f>
        <v>0.56163969142338532</v>
      </c>
      <c r="AL833" s="29"/>
      <c r="AM833" s="29"/>
      <c r="AN833" s="27">
        <v>4</v>
      </c>
      <c r="AO833" s="29"/>
      <c r="AP833" s="27">
        <v>11.099</v>
      </c>
      <c r="AQ833" s="27">
        <f>AP834/AP833</f>
        <v>0.35120281106405982</v>
      </c>
      <c r="AY833" s="27">
        <v>13</v>
      </c>
      <c r="BC833" s="29"/>
      <c r="BE833" s="29"/>
      <c r="BF833" s="27">
        <v>7.7779999999999996</v>
      </c>
      <c r="BG833" s="27">
        <f>BF834/BF833</f>
        <v>0.52519928002057081</v>
      </c>
      <c r="BK833" s="27">
        <v>4</v>
      </c>
      <c r="BL833" s="29"/>
      <c r="BM833" s="27">
        <v>12.176</v>
      </c>
      <c r="BN833" s="27">
        <f>BM834/BM833</f>
        <v>0.35750657030223387</v>
      </c>
      <c r="BO833" s="29"/>
    </row>
    <row r="834" spans="1:72" s="27" customFormat="1" ht="20.25" customHeight="1" x14ac:dyDescent="0.45">
      <c r="A834" s="26"/>
      <c r="B834" s="28"/>
      <c r="G834" s="27" t="s">
        <v>14</v>
      </c>
      <c r="H834" s="27">
        <f>TTEST(H827:H830,K827:K830,2,2)</f>
        <v>7.3091583935026182E-5</v>
      </c>
      <c r="I834" s="27">
        <f>TTEST(H827:H830,J827:J830,2,2)</f>
        <v>4.5577233093239711E-5</v>
      </c>
      <c r="J834" s="27">
        <f>TTEST(H827:H830,I827:I830,2,2)</f>
        <v>4.4077006348684104E-2</v>
      </c>
      <c r="K834" s="27">
        <f>TTEST(I827:I830,J827:J830,2,2)</f>
        <v>0.44578668149486445</v>
      </c>
      <c r="L834" s="27">
        <f>TTEST(I827:I830,K827:K830,2,2)</f>
        <v>2.8867582190111049E-3</v>
      </c>
      <c r="M834" s="27">
        <f>TTEST(J827:J830,K827:K830,2,2)</f>
        <v>9.2655692376901694E-4</v>
      </c>
      <c r="AC834" s="27">
        <v>8</v>
      </c>
      <c r="AH834" s="29"/>
      <c r="AI834" s="27">
        <v>3.7130000000000001</v>
      </c>
      <c r="AJ834" s="29"/>
      <c r="AL834" s="29"/>
      <c r="AM834" s="29"/>
      <c r="AN834" s="27">
        <v>5</v>
      </c>
      <c r="AO834" s="29"/>
      <c r="AP834" s="27">
        <v>3.8980000000000001</v>
      </c>
      <c r="AQ834" s="29"/>
      <c r="AY834" s="27">
        <v>14</v>
      </c>
      <c r="BC834" s="29"/>
      <c r="BE834" s="29"/>
      <c r="BF834" s="27">
        <v>4.085</v>
      </c>
      <c r="BG834" s="29"/>
      <c r="BK834" s="27">
        <v>5</v>
      </c>
      <c r="BL834" s="29"/>
      <c r="BM834" s="27">
        <v>4.3529999999999998</v>
      </c>
      <c r="BN834" s="29"/>
      <c r="BO834" s="29"/>
    </row>
    <row r="835" spans="1:72" s="27" customFormat="1" ht="20.25" customHeight="1" x14ac:dyDescent="0.45">
      <c r="A835" s="26"/>
      <c r="B835" s="28"/>
      <c r="H835" s="29"/>
      <c r="AC835" s="27">
        <v>9</v>
      </c>
      <c r="AH835" s="27">
        <v>158.208</v>
      </c>
      <c r="AI835" s="29"/>
      <c r="AJ835" s="29"/>
      <c r="AL835" s="29"/>
      <c r="AM835" s="29"/>
      <c r="AN835" s="27">
        <v>6</v>
      </c>
      <c r="AO835" s="27">
        <v>68.397000000000006</v>
      </c>
      <c r="AP835" s="29"/>
      <c r="AQ835" s="29"/>
      <c r="AY835" s="27">
        <v>15</v>
      </c>
      <c r="BC835" s="29"/>
      <c r="BE835" s="27">
        <v>101.267</v>
      </c>
      <c r="BF835" s="29"/>
      <c r="BG835" s="29"/>
      <c r="BK835" s="27">
        <v>6</v>
      </c>
      <c r="BL835" s="27">
        <v>32.801000000000002</v>
      </c>
      <c r="BM835" s="29"/>
      <c r="BN835" s="29"/>
      <c r="BO835" s="29"/>
    </row>
    <row r="836" spans="1:72" s="27" customFormat="1" ht="20.25" customHeight="1" x14ac:dyDescent="0.45">
      <c r="A836" s="26"/>
      <c r="B836" s="28"/>
      <c r="AB836" s="27" t="s">
        <v>98</v>
      </c>
      <c r="AC836" s="27">
        <v>1</v>
      </c>
      <c r="AD836" s="29"/>
      <c r="AE836" s="27">
        <v>9.2780000000000005</v>
      </c>
      <c r="AF836" s="27">
        <f>AE837/AE836</f>
        <v>0.5</v>
      </c>
      <c r="AL836" s="29"/>
      <c r="AM836" s="29"/>
      <c r="AN836" s="27">
        <v>7</v>
      </c>
      <c r="AT836" s="29"/>
      <c r="AU836" s="27">
        <v>7.3140000000000001</v>
      </c>
      <c r="AV836" s="27">
        <f>AU837/AU836</f>
        <v>0.65244736122504787</v>
      </c>
      <c r="AX836" s="27" t="s">
        <v>117</v>
      </c>
      <c r="AY836" s="27">
        <v>1</v>
      </c>
      <c r="BC836" s="29"/>
      <c r="BE836" s="29"/>
      <c r="BF836" s="27">
        <v>7.2329999999999997</v>
      </c>
      <c r="BG836" s="27">
        <f>BF837/BF836</f>
        <v>0.63002903359601836</v>
      </c>
      <c r="BK836" s="27">
        <v>1</v>
      </c>
      <c r="BL836" s="29"/>
      <c r="BM836" s="27">
        <v>13.851000000000001</v>
      </c>
      <c r="BN836" s="27">
        <f>BM837/BM836</f>
        <v>0.19543715255216226</v>
      </c>
      <c r="BO836" s="29"/>
    </row>
    <row r="837" spans="1:72" s="27" customFormat="1" ht="20.25" customHeight="1" x14ac:dyDescent="0.45">
      <c r="A837" s="26"/>
      <c r="B837" s="28"/>
      <c r="AC837" s="27">
        <v>2</v>
      </c>
      <c r="AD837" s="29"/>
      <c r="AE837" s="27">
        <v>4.6390000000000002</v>
      </c>
      <c r="AF837" s="29"/>
      <c r="AL837" s="29"/>
      <c r="AM837" s="29"/>
      <c r="AN837" s="27">
        <v>8</v>
      </c>
      <c r="AT837" s="29"/>
      <c r="AU837" s="27">
        <v>4.7720000000000002</v>
      </c>
      <c r="AV837" s="29"/>
      <c r="AY837" s="27">
        <v>2</v>
      </c>
      <c r="BC837" s="29"/>
      <c r="BE837" s="29"/>
      <c r="BF837" s="27">
        <v>4.5570000000000004</v>
      </c>
      <c r="BG837" s="29"/>
      <c r="BK837" s="27">
        <v>2</v>
      </c>
      <c r="BL837" s="29"/>
      <c r="BM837" s="27">
        <v>2.7069999999999999</v>
      </c>
      <c r="BN837" s="29"/>
      <c r="BO837" s="29"/>
    </row>
    <row r="838" spans="1:72" s="27" customFormat="1" ht="20.25" customHeight="1" x14ac:dyDescent="0.45">
      <c r="A838" s="26"/>
      <c r="B838" s="28"/>
      <c r="G838" s="27">
        <v>1</v>
      </c>
      <c r="H838" s="27">
        <f>AVERAGE(H827:H830)</f>
        <v>67.010546464046271</v>
      </c>
      <c r="I838" s="27">
        <f>AVERAGE(E806,E809,E815,E818)</f>
        <v>0.46512301621335017</v>
      </c>
      <c r="AC838" s="27">
        <v>3</v>
      </c>
      <c r="AD838" s="27">
        <v>44.206000000000003</v>
      </c>
      <c r="AE838" s="29"/>
      <c r="AF838" s="29"/>
      <c r="AL838" s="29"/>
      <c r="AM838" s="29"/>
      <c r="AN838" s="27">
        <v>9</v>
      </c>
      <c r="AT838" s="27">
        <v>93.236999999999995</v>
      </c>
      <c r="AU838" s="29"/>
      <c r="AV838" s="29"/>
      <c r="AY838" s="27">
        <v>3</v>
      </c>
      <c r="BC838" s="29"/>
      <c r="BE838" s="27">
        <v>106.197</v>
      </c>
      <c r="BF838" s="29"/>
      <c r="BG838" s="29"/>
      <c r="BK838" s="27">
        <v>3</v>
      </c>
      <c r="BL838" s="27">
        <v>82.453999999999994</v>
      </c>
      <c r="BM838" s="29"/>
      <c r="BN838" s="29"/>
      <c r="BO838" s="29"/>
    </row>
    <row r="839" spans="1:72" s="27" customFormat="1" ht="20.25" customHeight="1" x14ac:dyDescent="0.45">
      <c r="A839" s="26"/>
      <c r="B839" s="28"/>
      <c r="G839" s="27">
        <v>1</v>
      </c>
      <c r="H839" s="27">
        <f>AVERAGE(I827:I830)</f>
        <v>59.689827297987954</v>
      </c>
      <c r="I839" s="27">
        <f>AVERAGE(J806,J809,J815,J818)</f>
        <v>0.48836308995000549</v>
      </c>
      <c r="AC839" s="27">
        <v>4</v>
      </c>
      <c r="AD839" s="29"/>
      <c r="AE839" s="27">
        <v>10.324</v>
      </c>
      <c r="AF839" s="27">
        <f>AE840/AE839</f>
        <v>0.68519953506392872</v>
      </c>
      <c r="AL839" s="29"/>
      <c r="AM839" s="29"/>
      <c r="AN839" s="27">
        <v>10</v>
      </c>
      <c r="AT839" s="29"/>
      <c r="AU839" s="27">
        <v>6.6260000000000003</v>
      </c>
      <c r="AV839" s="27">
        <f>AU840/AU839</f>
        <v>0.59613643223664348</v>
      </c>
      <c r="AY839" s="27">
        <v>4</v>
      </c>
      <c r="BC839" s="29"/>
      <c r="BE839" s="29"/>
      <c r="BF839" s="27">
        <v>9.7029999999999994</v>
      </c>
      <c r="BG839" s="27">
        <f>BF840/BF839</f>
        <v>0.50726579408430383</v>
      </c>
      <c r="BK839" s="27">
        <v>4</v>
      </c>
      <c r="BO839" s="29"/>
      <c r="BR839" s="29"/>
      <c r="BS839" s="27">
        <v>10.228999999999999</v>
      </c>
      <c r="BT839" s="27">
        <f>BS840/BS839</f>
        <v>0.43093166487437684</v>
      </c>
    </row>
    <row r="840" spans="1:72" s="27" customFormat="1" ht="20.25" customHeight="1" x14ac:dyDescent="0.45">
      <c r="A840" s="26"/>
      <c r="B840" s="28"/>
      <c r="G840" s="27">
        <v>1</v>
      </c>
      <c r="H840" s="27">
        <f>AVERAGE(J827:J830)</f>
        <v>57.3529534323701</v>
      </c>
      <c r="I840" s="27">
        <f>AVERAGE(P806,P809,P815,P818)</f>
        <v>0.58526454043674414</v>
      </c>
      <c r="AC840" s="27">
        <v>5</v>
      </c>
      <c r="AD840" s="29"/>
      <c r="AE840" s="27">
        <v>7.0739999999999998</v>
      </c>
      <c r="AF840" s="29"/>
      <c r="AL840" s="29"/>
      <c r="AM840" s="29"/>
      <c r="AN840" s="27">
        <v>11</v>
      </c>
      <c r="AT840" s="29"/>
      <c r="AU840" s="27">
        <v>3.95</v>
      </c>
      <c r="AV840" s="29"/>
      <c r="AY840" s="27">
        <v>5</v>
      </c>
      <c r="BC840" s="29"/>
      <c r="BE840" s="29"/>
      <c r="BF840" s="27">
        <v>4.9219999999999997</v>
      </c>
      <c r="BG840" s="29"/>
      <c r="BK840" s="27">
        <v>5</v>
      </c>
      <c r="BO840" s="29"/>
      <c r="BR840" s="29"/>
      <c r="BS840" s="27">
        <v>4.4080000000000004</v>
      </c>
      <c r="BT840" s="29"/>
    </row>
    <row r="841" spans="1:72" s="27" customFormat="1" ht="20.25" customHeight="1" x14ac:dyDescent="0.45">
      <c r="A841" s="26"/>
      <c r="B841" s="28"/>
      <c r="G841" s="27">
        <v>1</v>
      </c>
      <c r="H841" s="27">
        <f>AVERAGE(K827:K830)</f>
        <v>41.228409358919833</v>
      </c>
      <c r="I841" s="27">
        <f>AVERAGE(U806,U809,U815,U818)</f>
        <v>0.59111242152754084</v>
      </c>
      <c r="AC841" s="27">
        <v>6</v>
      </c>
      <c r="AD841" s="27">
        <v>65.287000000000006</v>
      </c>
      <c r="AE841" s="29"/>
      <c r="AF841" s="29"/>
      <c r="AL841" s="29"/>
      <c r="AM841" s="29"/>
      <c r="AN841" s="27">
        <v>12</v>
      </c>
      <c r="AT841" s="27">
        <v>161.785</v>
      </c>
      <c r="AU841" s="29"/>
      <c r="AV841" s="29"/>
      <c r="AY841" s="27">
        <v>6</v>
      </c>
      <c r="BC841" s="29"/>
      <c r="BE841" s="27">
        <v>168.14099999999999</v>
      </c>
      <c r="BF841" s="29"/>
      <c r="BG841" s="29"/>
      <c r="BK841" s="27">
        <v>6</v>
      </c>
      <c r="BO841" s="29"/>
      <c r="BR841" s="27">
        <v>148.11699999999999</v>
      </c>
      <c r="BS841" s="29"/>
      <c r="BT841" s="29"/>
    </row>
    <row r="842" spans="1:72" s="27" customFormat="1" ht="20.25" customHeight="1" x14ac:dyDescent="0.45">
      <c r="A842" s="26"/>
      <c r="B842" s="28"/>
      <c r="AC842" s="27">
        <v>7</v>
      </c>
      <c r="AH842" s="29"/>
      <c r="AI842" s="27">
        <v>6.6260000000000003</v>
      </c>
      <c r="AJ842" s="27">
        <f>AI843/AI842</f>
        <v>0.7826743133111983</v>
      </c>
      <c r="AL842" s="29"/>
      <c r="AM842" s="27" t="s">
        <v>118</v>
      </c>
      <c r="AN842" s="27">
        <v>1</v>
      </c>
      <c r="AT842" s="29"/>
      <c r="AU842" s="27">
        <v>13.55</v>
      </c>
      <c r="AV842" s="27">
        <f>AU843/AU842</f>
        <v>0.26752767527675275</v>
      </c>
      <c r="AY842" s="27">
        <v>7</v>
      </c>
      <c r="AZ842" s="29"/>
      <c r="BA842" s="27">
        <v>7.2649999999999997</v>
      </c>
      <c r="BB842" s="27">
        <f>BA843/BA842</f>
        <v>0.39944941500344117</v>
      </c>
      <c r="BC842" s="29"/>
      <c r="BK842" s="27">
        <v>7</v>
      </c>
      <c r="BL842" s="29"/>
      <c r="BM842" s="27">
        <v>10.068</v>
      </c>
      <c r="BN842" s="27">
        <f>BM843/BM842</f>
        <v>0.27304330552244738</v>
      </c>
      <c r="BO842" s="29"/>
    </row>
    <row r="843" spans="1:72" s="27" customFormat="1" ht="20.25" customHeight="1" x14ac:dyDescent="0.45">
      <c r="A843" s="26"/>
      <c r="B843" s="28"/>
      <c r="H843" s="27">
        <f>RADIANS(H838)</f>
        <v>1.1695546693582515</v>
      </c>
      <c r="I843" s="27">
        <f>I838/(COS(H843))</f>
        <v>1.1909079543491214</v>
      </c>
      <c r="J843" s="29"/>
      <c r="AC843" s="27">
        <v>8</v>
      </c>
      <c r="AH843" s="29"/>
      <c r="AI843" s="27">
        <v>5.1859999999999999</v>
      </c>
      <c r="AJ843" s="29"/>
      <c r="AL843" s="29"/>
      <c r="AM843" s="29"/>
      <c r="AN843" s="27">
        <v>2</v>
      </c>
      <c r="AT843" s="29"/>
      <c r="AU843" s="27">
        <v>3.625</v>
      </c>
      <c r="AV843" s="29"/>
      <c r="AY843" s="27">
        <v>8</v>
      </c>
      <c r="AZ843" s="29"/>
      <c r="BA843" s="27">
        <v>2.9020000000000001</v>
      </c>
      <c r="BB843" s="29"/>
      <c r="BC843" s="29"/>
      <c r="BK843" s="27">
        <v>8</v>
      </c>
      <c r="BL843" s="29"/>
      <c r="BM843" s="27">
        <v>2.7490000000000001</v>
      </c>
      <c r="BN843" s="29"/>
      <c r="BO843" s="29"/>
    </row>
    <row r="844" spans="1:72" s="27" customFormat="1" ht="20.25" customHeight="1" x14ac:dyDescent="0.45">
      <c r="A844" s="26"/>
      <c r="B844" s="28"/>
      <c r="H844" s="27">
        <f>RADIANS(H839)</f>
        <v>1.0417840162966803</v>
      </c>
      <c r="I844" s="27">
        <f>I839/(COS(H844))</f>
        <v>0.96766705649794094</v>
      </c>
      <c r="J844" s="29"/>
      <c r="AC844" s="27">
        <v>9</v>
      </c>
      <c r="AH844" s="27">
        <v>93.56</v>
      </c>
      <c r="AI844" s="29"/>
      <c r="AJ844" s="29"/>
      <c r="AL844" s="29"/>
      <c r="AM844" s="29"/>
      <c r="AN844" s="27">
        <v>3</v>
      </c>
      <c r="AT844" s="27">
        <v>157.26400000000001</v>
      </c>
      <c r="AU844" s="29"/>
      <c r="AV844" s="29"/>
      <c r="AY844" s="27">
        <v>9</v>
      </c>
      <c r="AZ844" s="27">
        <v>77.463999999999999</v>
      </c>
      <c r="BA844" s="29"/>
      <c r="BB844" s="29"/>
      <c r="BC844" s="29"/>
      <c r="BK844" s="27">
        <v>9</v>
      </c>
      <c r="BL844" s="27">
        <v>72.144999999999996</v>
      </c>
      <c r="BM844" s="29"/>
      <c r="BN844" s="29"/>
      <c r="BO844" s="29"/>
    </row>
    <row r="845" spans="1:72" s="27" customFormat="1" ht="20.25" customHeight="1" x14ac:dyDescent="0.45">
      <c r="A845" s="26"/>
      <c r="B845" s="28"/>
      <c r="H845" s="27">
        <f>RADIANS(H840)</f>
        <v>1.0009978731378413</v>
      </c>
      <c r="I845" s="27">
        <f>I840/(COS(H845))</f>
        <v>1.0849033936093546</v>
      </c>
      <c r="J845" s="29"/>
      <c r="AB845" s="27" t="s">
        <v>110</v>
      </c>
      <c r="AC845" s="27">
        <v>1</v>
      </c>
      <c r="AD845" s="29"/>
      <c r="AE845" s="27">
        <v>7.9880000000000004</v>
      </c>
      <c r="AF845" s="27">
        <f>AE846/AE845</f>
        <v>0.5852528793189784</v>
      </c>
      <c r="AL845" s="29"/>
      <c r="AM845" s="29"/>
      <c r="AN845" s="27">
        <v>1</v>
      </c>
      <c r="AT845" s="29"/>
      <c r="AU845" s="27">
        <v>9.6110000000000007</v>
      </c>
      <c r="AV845" s="27">
        <f>AU846/AU845</f>
        <v>0.42763500156071171</v>
      </c>
      <c r="AX845" s="27" t="s">
        <v>119</v>
      </c>
      <c r="AY845" s="27">
        <v>1</v>
      </c>
      <c r="AZ845" s="29"/>
      <c r="BA845" s="27">
        <v>6.9509999999999996</v>
      </c>
      <c r="BB845" s="27">
        <f>BA846/BA845</f>
        <v>0.6134369155517192</v>
      </c>
      <c r="BC845" s="29"/>
      <c r="BK845" s="27">
        <v>1</v>
      </c>
      <c r="BO845" s="29"/>
      <c r="BR845" s="29"/>
      <c r="BS845" s="27">
        <v>12.186</v>
      </c>
      <c r="BT845" s="27">
        <f>BS846/BS845</f>
        <v>0.46717544723453142</v>
      </c>
    </row>
    <row r="846" spans="1:72" s="27" customFormat="1" ht="20.25" customHeight="1" x14ac:dyDescent="0.45">
      <c r="A846" s="26"/>
      <c r="B846" s="28"/>
      <c r="H846" s="27">
        <f>RADIANS(H841)</f>
        <v>0.71957148867319565</v>
      </c>
      <c r="I846" s="27">
        <f>I841/(COS(H846))</f>
        <v>0.78596155423750558</v>
      </c>
      <c r="J846" s="29"/>
      <c r="AC846" s="27">
        <v>2</v>
      </c>
      <c r="AD846" s="29"/>
      <c r="AE846" s="27">
        <v>4.6749999999999998</v>
      </c>
      <c r="AF846" s="29"/>
      <c r="AL846" s="29"/>
      <c r="AM846" s="29"/>
      <c r="AN846" s="27">
        <v>2</v>
      </c>
      <c r="AT846" s="29"/>
      <c r="AU846" s="27">
        <v>4.1100000000000003</v>
      </c>
      <c r="AV846" s="29"/>
      <c r="AY846" s="27">
        <v>2</v>
      </c>
      <c r="AZ846" s="29"/>
      <c r="BA846" s="27">
        <v>4.2640000000000002</v>
      </c>
      <c r="BC846" s="29"/>
      <c r="BK846" s="27">
        <v>2</v>
      </c>
      <c r="BO846" s="29"/>
      <c r="BR846" s="29"/>
      <c r="BS846" s="27">
        <v>5.6929999999999996</v>
      </c>
      <c r="BT846" s="29"/>
    </row>
    <row r="847" spans="1:72" s="27" customFormat="1" ht="20.25" customHeight="1" x14ac:dyDescent="0.45">
      <c r="A847" s="26"/>
      <c r="B847" s="28"/>
      <c r="AC847" s="27">
        <v>3</v>
      </c>
      <c r="AD847" s="27">
        <v>40.252000000000002</v>
      </c>
      <c r="AE847" s="29"/>
      <c r="AF847" s="29"/>
      <c r="AL847" s="29"/>
      <c r="AM847" s="29"/>
      <c r="AN847" s="27">
        <v>3</v>
      </c>
      <c r="AT847" s="27">
        <v>158.30099999999999</v>
      </c>
      <c r="AU847" s="29"/>
      <c r="AV847" s="29"/>
      <c r="AY847" s="27">
        <v>3</v>
      </c>
      <c r="AZ847" s="27">
        <v>54.863999999999997</v>
      </c>
      <c r="BA847" s="29"/>
      <c r="BC847" s="29"/>
      <c r="BK847" s="27">
        <v>3</v>
      </c>
      <c r="BO847" s="29"/>
      <c r="BR847" s="27">
        <v>138.27600000000001</v>
      </c>
      <c r="BS847" s="29"/>
      <c r="BT847" s="29"/>
    </row>
    <row r="848" spans="1:72" s="27" customFormat="1" ht="20.25" customHeight="1" x14ac:dyDescent="0.45">
      <c r="A848" s="30" t="s">
        <v>120</v>
      </c>
      <c r="B848" s="25" t="s">
        <v>121</v>
      </c>
      <c r="I848" s="32" t="s">
        <v>122</v>
      </c>
      <c r="AC848" s="27">
        <v>4</v>
      </c>
      <c r="AH848" s="29"/>
      <c r="AI848" s="27">
        <v>6.2450000000000001</v>
      </c>
      <c r="AJ848" s="27">
        <f>AI849/AI848</f>
        <v>0.58638911128903115</v>
      </c>
      <c r="AL848" s="29"/>
      <c r="AM848" s="29"/>
      <c r="AN848" s="27">
        <v>4</v>
      </c>
      <c r="AT848" s="29"/>
      <c r="AU848" s="27">
        <v>9.0489999999999995</v>
      </c>
      <c r="AV848" s="27">
        <f>AU849/AU848</f>
        <v>0.46148745717758871</v>
      </c>
      <c r="AY848" s="27">
        <v>4</v>
      </c>
      <c r="BC848" s="29"/>
      <c r="BE848" s="29"/>
      <c r="BF848" s="27">
        <v>6.5869999999999997</v>
      </c>
      <c r="BG848" s="27">
        <f>BF849/BF848</f>
        <v>0.3865189008653408</v>
      </c>
      <c r="BK848" s="27">
        <v>4</v>
      </c>
      <c r="BO848" s="29"/>
      <c r="BR848" s="29"/>
      <c r="BS848" s="27">
        <v>8.9359999999999999</v>
      </c>
      <c r="BT848" s="27">
        <f>BS849/BS848</f>
        <v>0.63607878245299909</v>
      </c>
    </row>
    <row r="849" spans="1:72" s="27" customFormat="1" ht="20.25" customHeight="1" x14ac:dyDescent="0.45">
      <c r="A849" s="26">
        <v>1</v>
      </c>
      <c r="B849" s="28">
        <v>1</v>
      </c>
      <c r="C849" s="27">
        <v>0.377</v>
      </c>
      <c r="D849" s="27">
        <v>4.4960000000000004</v>
      </c>
      <c r="E849" s="27">
        <v>3</v>
      </c>
      <c r="F849" s="27">
        <v>6.7039999999999997</v>
      </c>
      <c r="G849" s="27">
        <v>98.427000000000007</v>
      </c>
      <c r="H849" s="27">
        <v>3.165</v>
      </c>
      <c r="L849" s="27">
        <v>1</v>
      </c>
      <c r="M849" s="29"/>
      <c r="N849" s="29"/>
      <c r="O849" s="29"/>
      <c r="P849" s="29"/>
      <c r="Q849" s="29"/>
      <c r="R849" s="29"/>
      <c r="S849" s="29"/>
      <c r="T849" s="27">
        <v>1</v>
      </c>
      <c r="U849" s="27">
        <v>0.32300000000000001</v>
      </c>
      <c r="V849" s="27">
        <v>3.9780000000000002</v>
      </c>
      <c r="W849" s="27">
        <v>2.4079999999999999</v>
      </c>
      <c r="X849" s="27">
        <v>6.5439999999999996</v>
      </c>
      <c r="Y849" s="27">
        <v>-138.57599999999999</v>
      </c>
      <c r="Z849" s="27">
        <v>2.629</v>
      </c>
      <c r="AA849" s="29"/>
      <c r="AC849" s="27">
        <v>5</v>
      </c>
      <c r="AH849" s="29"/>
      <c r="AI849" s="27">
        <v>3.6619999999999999</v>
      </c>
      <c r="AJ849" s="29"/>
      <c r="AL849" s="29"/>
      <c r="AM849" s="29"/>
      <c r="AN849" s="27">
        <v>5</v>
      </c>
      <c r="AT849" s="29"/>
      <c r="AU849" s="27">
        <v>4.1760000000000002</v>
      </c>
      <c r="AV849" s="29"/>
      <c r="AY849" s="27">
        <v>5</v>
      </c>
      <c r="BC849" s="29"/>
      <c r="BE849" s="29"/>
      <c r="BF849" s="27">
        <v>2.5459999999999998</v>
      </c>
      <c r="BK849" s="27">
        <v>5</v>
      </c>
      <c r="BO849" s="29"/>
      <c r="BR849" s="29"/>
      <c r="BS849" s="27">
        <v>5.6840000000000002</v>
      </c>
      <c r="BT849" s="29"/>
    </row>
    <row r="850" spans="1:72" s="27" customFormat="1" ht="20.25" customHeight="1" x14ac:dyDescent="0.45">
      <c r="A850" s="26"/>
      <c r="B850" s="28"/>
      <c r="C850" s="27">
        <v>0</v>
      </c>
      <c r="D850" s="27">
        <v>0</v>
      </c>
      <c r="E850" s="27">
        <v>0</v>
      </c>
      <c r="F850" s="27">
        <v>0</v>
      </c>
      <c r="G850" s="27">
        <v>90</v>
      </c>
      <c r="H850" s="27">
        <v>0</v>
      </c>
      <c r="M850" s="29"/>
      <c r="N850" s="29"/>
      <c r="O850" s="29"/>
      <c r="P850" s="29"/>
      <c r="Q850" s="29"/>
      <c r="R850" s="29"/>
      <c r="S850" s="29"/>
      <c r="T850" s="29"/>
      <c r="U850" s="27">
        <v>0</v>
      </c>
      <c r="V850" s="27">
        <v>0</v>
      </c>
      <c r="W850" s="27">
        <v>0</v>
      </c>
      <c r="X850" s="27">
        <v>0</v>
      </c>
      <c r="Y850" s="27">
        <v>178.66800000000001</v>
      </c>
      <c r="Z850" s="27">
        <v>0</v>
      </c>
      <c r="AA850" s="29"/>
      <c r="AC850" s="27">
        <v>6</v>
      </c>
      <c r="AH850" s="27">
        <v>131.30199999999999</v>
      </c>
      <c r="AI850" s="29"/>
      <c r="AJ850" s="29"/>
      <c r="AL850" s="29"/>
      <c r="AM850" s="29"/>
      <c r="AN850" s="27">
        <v>6</v>
      </c>
      <c r="AT850" s="27">
        <v>178.53100000000001</v>
      </c>
      <c r="AU850" s="29"/>
      <c r="AV850" s="29"/>
      <c r="AY850" s="27">
        <v>6</v>
      </c>
      <c r="BC850" s="29"/>
      <c r="BE850" s="27">
        <v>135.56200000000001</v>
      </c>
      <c r="BF850" s="29"/>
      <c r="BK850" s="27">
        <v>6</v>
      </c>
      <c r="BO850" s="29"/>
      <c r="BR850" s="27">
        <v>168.73400000000001</v>
      </c>
      <c r="BS850" s="29"/>
      <c r="BT850" s="29"/>
    </row>
    <row r="851" spans="1:72" s="27" customFormat="1" ht="20.25" customHeight="1" x14ac:dyDescent="0.45">
      <c r="A851" s="26"/>
      <c r="B851" s="28">
        <v>1</v>
      </c>
      <c r="C851" s="27">
        <v>0.29599999999999999</v>
      </c>
      <c r="D851" s="27">
        <v>28.82</v>
      </c>
      <c r="E851" s="27">
        <v>9.9930000000000003</v>
      </c>
      <c r="F851" s="27">
        <v>101.29900000000001</v>
      </c>
      <c r="G851" s="27">
        <v>115.346</v>
      </c>
      <c r="H851" s="27">
        <v>2.4380000000000002</v>
      </c>
      <c r="N851" s="27" t="s">
        <v>123</v>
      </c>
      <c r="O851" s="27">
        <v>1</v>
      </c>
      <c r="AB851" s="27" t="s">
        <v>118</v>
      </c>
      <c r="AC851" s="27">
        <v>1</v>
      </c>
      <c r="AH851" s="29"/>
      <c r="AI851" s="27">
        <v>8.8780000000000001</v>
      </c>
      <c r="AJ851" s="27">
        <f>AI852/AI851</f>
        <v>0.47544492002703315</v>
      </c>
      <c r="AL851" s="29"/>
      <c r="AM851" s="29"/>
      <c r="AN851" s="27">
        <v>7</v>
      </c>
      <c r="AO851" s="29"/>
      <c r="AP851" s="27">
        <v>9.7970000000000006</v>
      </c>
      <c r="AQ851" s="27">
        <f>AP852/AP851</f>
        <v>0.42880473614371739</v>
      </c>
      <c r="AX851" s="27" t="s">
        <v>124</v>
      </c>
      <c r="AY851" s="27">
        <v>1</v>
      </c>
      <c r="AZ851" s="29"/>
      <c r="BA851" s="27">
        <v>6.8109999999999999</v>
      </c>
      <c r="BB851" s="27">
        <f>BA852/BA851</f>
        <v>0.8377624431067392</v>
      </c>
      <c r="BC851" s="29"/>
      <c r="BK851" s="27">
        <v>7</v>
      </c>
      <c r="BL851" s="29"/>
      <c r="BM851" s="27">
        <v>8.1430000000000007</v>
      </c>
      <c r="BN851" s="27">
        <f>BM852/BM851</f>
        <v>0.62618199680707354</v>
      </c>
      <c r="BO851" s="29"/>
    </row>
    <row r="852" spans="1:72" s="27" customFormat="1" ht="20.25" customHeight="1" x14ac:dyDescent="0.45">
      <c r="A852" s="26"/>
      <c r="B852" s="28"/>
      <c r="C852" s="27">
        <v>0</v>
      </c>
      <c r="D852" s="27">
        <v>0</v>
      </c>
      <c r="E852" s="27">
        <v>0</v>
      </c>
      <c r="F852" s="27">
        <v>0</v>
      </c>
      <c r="G852" s="27">
        <v>154.804</v>
      </c>
      <c r="H852" s="27">
        <v>0</v>
      </c>
      <c r="L852" s="27">
        <v>2</v>
      </c>
      <c r="M852" s="27">
        <v>1</v>
      </c>
      <c r="N852" s="27">
        <v>0.29599999999999999</v>
      </c>
      <c r="O852" s="27">
        <v>1.905</v>
      </c>
      <c r="P852" s="27">
        <v>0.88900000000000001</v>
      </c>
      <c r="Q852" s="27">
        <v>3</v>
      </c>
      <c r="R852" s="27">
        <v>-154.654</v>
      </c>
      <c r="S852" s="27">
        <v>2.42</v>
      </c>
      <c r="AC852" s="27">
        <v>2</v>
      </c>
      <c r="AH852" s="29"/>
      <c r="AI852" s="27">
        <v>4.2210000000000001</v>
      </c>
      <c r="AJ852" s="29"/>
      <c r="AL852" s="29"/>
      <c r="AM852" s="29"/>
      <c r="AN852" s="27">
        <v>8</v>
      </c>
      <c r="AO852" s="29"/>
      <c r="AP852" s="27">
        <v>4.2009999999999996</v>
      </c>
      <c r="AQ852" s="29"/>
      <c r="AY852" s="27">
        <v>2</v>
      </c>
      <c r="AZ852" s="29"/>
      <c r="BA852" s="27">
        <v>5.7060000000000004</v>
      </c>
      <c r="BB852" s="29"/>
      <c r="BC852" s="29"/>
      <c r="BK852" s="27">
        <v>8</v>
      </c>
      <c r="BL852" s="29"/>
      <c r="BM852" s="27">
        <v>5.0990000000000002</v>
      </c>
      <c r="BN852" s="29"/>
      <c r="BO852" s="29"/>
    </row>
    <row r="853" spans="1:72" s="27" customFormat="1" ht="20.25" customHeight="1" x14ac:dyDescent="0.45">
      <c r="A853" s="26"/>
      <c r="B853" s="28"/>
      <c r="C853" s="27">
        <v>0.65900000000000003</v>
      </c>
      <c r="D853" s="27">
        <v>18.535</v>
      </c>
      <c r="E853" s="27">
        <v>6</v>
      </c>
      <c r="F853" s="27">
        <v>65</v>
      </c>
      <c r="G853" s="27">
        <v>87.614000000000004</v>
      </c>
      <c r="H853" s="27">
        <v>5.5709999999999997</v>
      </c>
      <c r="M853" s="29"/>
      <c r="N853" s="27">
        <v>0</v>
      </c>
      <c r="O853" s="27">
        <v>0</v>
      </c>
      <c r="P853" s="27">
        <v>0</v>
      </c>
      <c r="Q853" s="27">
        <v>0</v>
      </c>
      <c r="R853" s="27">
        <v>143.70699999999999</v>
      </c>
      <c r="S853" s="27">
        <v>0</v>
      </c>
      <c r="AC853" s="27">
        <v>3</v>
      </c>
      <c r="AH853" s="27">
        <v>172.37899999999999</v>
      </c>
      <c r="AI853" s="29"/>
      <c r="AJ853" s="29"/>
      <c r="AL853" s="29"/>
      <c r="AM853" s="29"/>
      <c r="AN853" s="27">
        <v>9</v>
      </c>
      <c r="AO853" s="27">
        <v>48.912999999999997</v>
      </c>
      <c r="AP853" s="29"/>
      <c r="AQ853" s="29"/>
      <c r="AY853" s="27">
        <v>3</v>
      </c>
      <c r="AZ853" s="27">
        <v>60.895000000000003</v>
      </c>
      <c r="BA853" s="29"/>
      <c r="BB853" s="29"/>
      <c r="BC853" s="29"/>
      <c r="BK853" s="27">
        <v>9</v>
      </c>
      <c r="BL853" s="27">
        <v>88.441000000000003</v>
      </c>
      <c r="BM853" s="29"/>
      <c r="BN853" s="29"/>
      <c r="BO853" s="29"/>
    </row>
    <row r="854" spans="1:72" s="27" customFormat="1" ht="20.25" customHeight="1" x14ac:dyDescent="0.45">
      <c r="A854" s="26"/>
      <c r="B854" s="28"/>
      <c r="C854" s="27">
        <v>0</v>
      </c>
      <c r="D854" s="27">
        <v>0</v>
      </c>
      <c r="E854" s="27">
        <v>0</v>
      </c>
      <c r="F854" s="27">
        <v>0</v>
      </c>
      <c r="G854" s="27">
        <v>138.601</v>
      </c>
      <c r="H854" s="27">
        <v>0</v>
      </c>
      <c r="M854" s="27">
        <v>1</v>
      </c>
      <c r="N854" s="27">
        <v>0.39</v>
      </c>
      <c r="O854" s="27">
        <v>1.597</v>
      </c>
      <c r="P854" s="27">
        <v>1</v>
      </c>
      <c r="Q854" s="27">
        <v>3</v>
      </c>
      <c r="R854" s="27">
        <v>-64.358999999999995</v>
      </c>
      <c r="S854" s="27">
        <v>3.2160000000000002</v>
      </c>
      <c r="AB854" s="27" t="s">
        <v>125</v>
      </c>
      <c r="AC854" s="27">
        <v>1</v>
      </c>
      <c r="AD854" s="29"/>
      <c r="AE854" s="27">
        <v>11.491</v>
      </c>
      <c r="AF854" s="27">
        <f>AE855/AE854</f>
        <v>0.57810460360281957</v>
      </c>
      <c r="AL854" s="29"/>
      <c r="AM854" s="29"/>
      <c r="AN854" s="27">
        <v>10</v>
      </c>
      <c r="AO854" s="29"/>
      <c r="AP854" s="27">
        <v>8.9659999999999993</v>
      </c>
      <c r="AQ854" s="27">
        <f>AP855/AP854</f>
        <v>0.48293553424046404</v>
      </c>
      <c r="AY854" s="27">
        <v>4</v>
      </c>
      <c r="AZ854" s="29"/>
      <c r="BA854" s="27">
        <v>6.7030000000000003</v>
      </c>
      <c r="BB854" s="27">
        <f>BA855/BA854</f>
        <v>0.57586155452782328</v>
      </c>
      <c r="BC854" s="29"/>
    </row>
    <row r="855" spans="1:72" s="27" customFormat="1" ht="20.25" customHeight="1" x14ac:dyDescent="0.45">
      <c r="A855" s="26"/>
      <c r="B855" s="28"/>
      <c r="C855" s="27">
        <v>0.48399999999999999</v>
      </c>
      <c r="D855" s="27">
        <v>21.844000000000001</v>
      </c>
      <c r="E855" s="27">
        <v>12.4</v>
      </c>
      <c r="F855" s="27">
        <v>36.343000000000004</v>
      </c>
      <c r="G855" s="27">
        <v>-91.637</v>
      </c>
      <c r="H855" s="27">
        <v>4.0609999999999999</v>
      </c>
      <c r="M855" s="29"/>
      <c r="N855" s="27">
        <v>0</v>
      </c>
      <c r="O855" s="27">
        <v>0</v>
      </c>
      <c r="P855" s="27">
        <v>0</v>
      </c>
      <c r="Q855" s="27">
        <v>0</v>
      </c>
      <c r="R855" s="27">
        <v>167.935</v>
      </c>
      <c r="S855" s="27">
        <v>3.2160000000000002</v>
      </c>
      <c r="AC855" s="27">
        <v>2</v>
      </c>
      <c r="AD855" s="29"/>
      <c r="AE855" s="27">
        <v>6.6429999999999998</v>
      </c>
      <c r="AF855" s="29"/>
      <c r="AL855" s="29"/>
      <c r="AM855" s="29"/>
      <c r="AN855" s="27">
        <v>11</v>
      </c>
      <c r="AO855" s="29"/>
      <c r="AP855" s="27">
        <v>4.33</v>
      </c>
      <c r="AQ855" s="29"/>
      <c r="AY855" s="27">
        <v>5</v>
      </c>
      <c r="AZ855" s="29"/>
      <c r="BA855" s="27">
        <v>3.86</v>
      </c>
      <c r="BB855" s="29"/>
      <c r="BC855" s="29"/>
    </row>
    <row r="856" spans="1:72" s="27" customFormat="1" ht="20.25" customHeight="1" x14ac:dyDescent="0.45">
      <c r="A856" s="26"/>
      <c r="B856" s="28"/>
      <c r="C856" s="27">
        <v>0</v>
      </c>
      <c r="D856" s="27">
        <v>0</v>
      </c>
      <c r="E856" s="27">
        <v>0</v>
      </c>
      <c r="F856" s="27">
        <v>0</v>
      </c>
      <c r="G856" s="27">
        <v>136.946</v>
      </c>
      <c r="H856" s="27">
        <v>0</v>
      </c>
      <c r="M856" s="27">
        <v>1</v>
      </c>
      <c r="N856" s="27">
        <v>0.29599999999999999</v>
      </c>
      <c r="O856" s="27">
        <v>5.5220000000000002</v>
      </c>
      <c r="P856" s="27">
        <v>3.5830000000000002</v>
      </c>
      <c r="Q856" s="27">
        <v>6.819</v>
      </c>
      <c r="R856" s="27">
        <v>-62.241</v>
      </c>
      <c r="S856" s="27">
        <v>2.4900000000000002</v>
      </c>
      <c r="AC856" s="27">
        <v>3</v>
      </c>
      <c r="AD856" s="27">
        <v>50.4</v>
      </c>
      <c r="AE856" s="29"/>
      <c r="AF856" s="29"/>
      <c r="AL856" s="29"/>
      <c r="AM856" s="29"/>
      <c r="AN856" s="27">
        <v>12</v>
      </c>
      <c r="AO856" s="27">
        <v>74.465000000000003</v>
      </c>
      <c r="AP856" s="29"/>
      <c r="AQ856" s="29"/>
      <c r="AY856" s="27">
        <v>6</v>
      </c>
      <c r="AZ856" s="27">
        <v>46.966999999999999</v>
      </c>
      <c r="BA856" s="29"/>
      <c r="BB856" s="29"/>
      <c r="BC856" s="29"/>
    </row>
    <row r="857" spans="1:72" s="27" customFormat="1" ht="20.25" customHeight="1" x14ac:dyDescent="0.45">
      <c r="A857" s="26"/>
      <c r="C857" s="27" t="s">
        <v>126</v>
      </c>
      <c r="D857" s="27">
        <v>0</v>
      </c>
      <c r="M857" s="29"/>
      <c r="N857" s="27">
        <v>0</v>
      </c>
      <c r="O857" s="27">
        <v>0</v>
      </c>
      <c r="P857" s="27">
        <v>0</v>
      </c>
      <c r="Q857" s="27">
        <v>0</v>
      </c>
      <c r="R857" s="27">
        <v>161.095</v>
      </c>
      <c r="S857" s="27">
        <v>2.4900000000000002</v>
      </c>
      <c r="AC857" s="27">
        <v>4</v>
      </c>
      <c r="AH857" s="29"/>
      <c r="AI857" s="27">
        <v>9.0489999999999995</v>
      </c>
      <c r="AJ857" s="27">
        <f>AI858/AI857</f>
        <v>0.59244115371864292</v>
      </c>
      <c r="AL857" s="29"/>
      <c r="AM857" s="29"/>
      <c r="AN857" s="27">
        <v>1</v>
      </c>
      <c r="AO857" s="29"/>
      <c r="AP857" s="27">
        <v>11.163</v>
      </c>
      <c r="AQ857" s="27">
        <f>AP858/AP857</f>
        <v>0.28863208814834723</v>
      </c>
      <c r="AY857" s="27">
        <v>7</v>
      </c>
      <c r="BC857" s="29"/>
      <c r="BE857" s="29"/>
      <c r="BF857" s="27">
        <v>9.3960000000000008</v>
      </c>
      <c r="BG857" s="27">
        <f>BF858/BF857</f>
        <v>0.53246062154108131</v>
      </c>
    </row>
    <row r="858" spans="1:72" s="27" customFormat="1" ht="20.25" customHeight="1" x14ac:dyDescent="0.45">
      <c r="A858" s="26">
        <v>2</v>
      </c>
      <c r="E858" s="28">
        <v>1</v>
      </c>
      <c r="F858" s="27">
        <v>0.78</v>
      </c>
      <c r="G858" s="27">
        <v>15.413</v>
      </c>
      <c r="H858" s="27">
        <v>3.16</v>
      </c>
      <c r="I858" s="27">
        <v>74.888999999999996</v>
      </c>
      <c r="J858" s="27">
        <v>-66.14</v>
      </c>
      <c r="K858" s="27">
        <v>6.5780000000000003</v>
      </c>
      <c r="T858" s="27">
        <v>1</v>
      </c>
      <c r="U858" s="27">
        <v>0.63200000000000001</v>
      </c>
      <c r="V858" s="27">
        <v>6.319</v>
      </c>
      <c r="W858" s="27">
        <v>4.4349999999999996</v>
      </c>
      <c r="X858" s="27">
        <v>10.250999999999999</v>
      </c>
      <c r="Y858" s="27">
        <v>-107.65</v>
      </c>
      <c r="Z858" s="27">
        <v>5.3319999999999999</v>
      </c>
      <c r="AC858" s="27">
        <v>5</v>
      </c>
      <c r="AH858" s="29"/>
      <c r="AI858" s="27">
        <v>5.3609999999999998</v>
      </c>
      <c r="AJ858" s="29"/>
      <c r="AL858" s="29"/>
      <c r="AM858" s="29"/>
      <c r="AN858" s="27">
        <v>2</v>
      </c>
      <c r="AO858" s="29"/>
      <c r="AP858" s="27">
        <v>3.222</v>
      </c>
      <c r="AQ858" s="29"/>
      <c r="AY858" s="27">
        <v>8</v>
      </c>
      <c r="BC858" s="29"/>
      <c r="BE858" s="29"/>
      <c r="BF858" s="27">
        <v>5.0030000000000001</v>
      </c>
      <c r="BG858" s="29"/>
    </row>
    <row r="859" spans="1:72" s="27" customFormat="1" ht="20.25" customHeight="1" x14ac:dyDescent="0.45">
      <c r="A859" s="26"/>
      <c r="E859" s="28"/>
      <c r="F859" s="27">
        <v>0</v>
      </c>
      <c r="G859" s="27">
        <v>0</v>
      </c>
      <c r="H859" s="27">
        <v>0</v>
      </c>
      <c r="I859" s="27">
        <v>0</v>
      </c>
      <c r="J859" s="27">
        <v>128.934</v>
      </c>
      <c r="K859" s="27">
        <v>0</v>
      </c>
      <c r="T859" s="29"/>
      <c r="U859" s="27">
        <v>0</v>
      </c>
      <c r="V859" s="27">
        <v>0</v>
      </c>
      <c r="W859" s="27">
        <v>0</v>
      </c>
      <c r="X859" s="27">
        <v>0</v>
      </c>
      <c r="Y859" s="27">
        <v>98.878</v>
      </c>
      <c r="Z859" s="27">
        <v>0</v>
      </c>
      <c r="AC859" s="27">
        <v>6</v>
      </c>
      <c r="AH859" s="27">
        <v>114.76</v>
      </c>
      <c r="AI859" s="29"/>
      <c r="AJ859" s="29"/>
      <c r="AL859" s="29"/>
      <c r="AM859" s="29"/>
      <c r="AN859" s="27">
        <v>3</v>
      </c>
      <c r="AO859" s="27">
        <v>69.775000000000006</v>
      </c>
      <c r="AP859" s="29"/>
      <c r="AQ859" s="29"/>
      <c r="AY859" s="27">
        <v>9</v>
      </c>
      <c r="BC859" s="29"/>
      <c r="BE859" s="27">
        <v>143.06800000000001</v>
      </c>
      <c r="BF859" s="29"/>
      <c r="BG859" s="29"/>
    </row>
    <row r="860" spans="1:72" s="27" customFormat="1" ht="20.25" customHeight="1" x14ac:dyDescent="0.45">
      <c r="A860" s="26"/>
      <c r="E860" s="29"/>
      <c r="F860" s="27">
        <v>0.29599999999999999</v>
      </c>
      <c r="G860" s="27">
        <v>61.067999999999998</v>
      </c>
      <c r="H860" s="27">
        <v>37.143000000000001</v>
      </c>
      <c r="I860" s="27">
        <v>99.5</v>
      </c>
      <c r="J860" s="27">
        <v>92.725999999999999</v>
      </c>
      <c r="K860" s="27">
        <v>2.4420000000000002</v>
      </c>
      <c r="N860" s="27" t="s">
        <v>123</v>
      </c>
      <c r="O860" s="27">
        <v>1</v>
      </c>
      <c r="AB860" s="27" t="s">
        <v>127</v>
      </c>
      <c r="AC860" s="27">
        <v>1</v>
      </c>
      <c r="AH860" s="29"/>
      <c r="AI860" s="27">
        <v>7.8890000000000002</v>
      </c>
      <c r="AJ860" s="27">
        <f>AI861/AI860</f>
        <v>0.64634300925339083</v>
      </c>
      <c r="AL860" s="29"/>
      <c r="AM860" s="29"/>
      <c r="AN860" s="27">
        <v>4</v>
      </c>
      <c r="AO860" s="29"/>
      <c r="AP860" s="27">
        <v>8.1479999999999997</v>
      </c>
      <c r="AQ860" s="27">
        <f>AP861/AP860</f>
        <v>0.45630829651448207</v>
      </c>
      <c r="AY860" s="27">
        <v>10</v>
      </c>
      <c r="BC860" s="29"/>
      <c r="BE860" s="29"/>
      <c r="BF860" s="27">
        <v>11.869</v>
      </c>
      <c r="BG860" s="27">
        <f>BF861/BF860</f>
        <v>0.44746819445614627</v>
      </c>
    </row>
    <row r="861" spans="1:72" s="27" customFormat="1" ht="20.25" customHeight="1" x14ac:dyDescent="0.45">
      <c r="A861" s="26"/>
      <c r="E861" s="29"/>
      <c r="F861" s="27">
        <v>0</v>
      </c>
      <c r="G861" s="27">
        <v>0</v>
      </c>
      <c r="H861" s="27">
        <v>0</v>
      </c>
      <c r="I861" s="27">
        <v>0</v>
      </c>
      <c r="J861" s="27">
        <v>50.256</v>
      </c>
      <c r="K861" s="27">
        <v>0</v>
      </c>
      <c r="L861" s="27">
        <v>3</v>
      </c>
      <c r="N861" s="27" t="s">
        <v>123</v>
      </c>
      <c r="O861" s="27">
        <v>1</v>
      </c>
      <c r="AC861" s="27">
        <v>2</v>
      </c>
      <c r="AH861" s="29"/>
      <c r="AI861" s="27">
        <v>5.0990000000000002</v>
      </c>
      <c r="AJ861" s="29"/>
      <c r="AL861" s="29"/>
      <c r="AM861" s="29"/>
      <c r="AN861" s="27">
        <v>5</v>
      </c>
      <c r="AO861" s="29"/>
      <c r="AP861" s="27">
        <v>3.718</v>
      </c>
      <c r="AQ861" s="29"/>
      <c r="AY861" s="27">
        <v>11</v>
      </c>
      <c r="BC861" s="29"/>
      <c r="BE861" s="29"/>
      <c r="BF861" s="27">
        <v>5.3109999999999999</v>
      </c>
      <c r="BG861" s="29"/>
    </row>
    <row r="862" spans="1:72" s="27" customFormat="1" ht="20.25" customHeight="1" x14ac:dyDescent="0.45">
      <c r="A862" s="26"/>
      <c r="B862" s="29"/>
      <c r="C862" s="27" t="s">
        <v>128</v>
      </c>
      <c r="D862" s="27">
        <v>1</v>
      </c>
      <c r="L862" s="27">
        <v>4</v>
      </c>
      <c r="T862" s="27">
        <v>1</v>
      </c>
      <c r="U862" s="27">
        <v>0.90100000000000002</v>
      </c>
      <c r="V862" s="27">
        <v>10.141999999999999</v>
      </c>
      <c r="W862" s="27">
        <v>2</v>
      </c>
      <c r="X862" s="27">
        <v>40.918999999999997</v>
      </c>
      <c r="Y862" s="27">
        <v>-19.536999999999999</v>
      </c>
      <c r="Z862" s="27">
        <v>7.6289999999999996</v>
      </c>
      <c r="AC862" s="27">
        <v>3</v>
      </c>
      <c r="AH862" s="27">
        <v>110.51600000000001</v>
      </c>
      <c r="AI862" s="29"/>
      <c r="AJ862" s="29"/>
      <c r="AL862" s="29"/>
      <c r="AM862" s="29"/>
      <c r="AN862" s="27">
        <v>6</v>
      </c>
      <c r="AO862" s="27">
        <v>50.844999999999999</v>
      </c>
      <c r="AP862" s="29"/>
      <c r="AQ862" s="29"/>
      <c r="AY862" s="27">
        <v>12</v>
      </c>
      <c r="BC862" s="29"/>
      <c r="BE862" s="27">
        <v>123.16200000000001</v>
      </c>
      <c r="BF862" s="29"/>
      <c r="BG862" s="29"/>
    </row>
    <row r="863" spans="1:72" s="27" customFormat="1" ht="20.25" customHeight="1" x14ac:dyDescent="0.45">
      <c r="A863" s="26">
        <v>3</v>
      </c>
      <c r="B863" s="27">
        <v>1</v>
      </c>
      <c r="C863" s="27">
        <v>0.377</v>
      </c>
      <c r="D863" s="27">
        <v>38.338000000000001</v>
      </c>
      <c r="E863" s="27">
        <v>19.074000000000002</v>
      </c>
      <c r="F863" s="27">
        <v>66</v>
      </c>
      <c r="G863" s="27">
        <v>109.79900000000001</v>
      </c>
      <c r="H863" s="27">
        <v>3.081</v>
      </c>
      <c r="T863" s="29"/>
      <c r="U863" s="27">
        <v>0</v>
      </c>
      <c r="V863" s="27">
        <v>0</v>
      </c>
      <c r="W863" s="27">
        <v>0</v>
      </c>
      <c r="X863" s="27">
        <v>0</v>
      </c>
      <c r="Y863" s="27">
        <v>177.25899999999999</v>
      </c>
      <c r="Z863" s="27">
        <v>0</v>
      </c>
      <c r="AC863" s="27">
        <v>4</v>
      </c>
      <c r="AD863" s="29"/>
      <c r="AE863" s="27">
        <v>9.1029999999999998</v>
      </c>
      <c r="AF863" s="27">
        <f>AE864/AE863</f>
        <v>0.7363506536306712</v>
      </c>
      <c r="AL863" s="29"/>
      <c r="AM863" s="29"/>
      <c r="AN863" s="27">
        <v>7</v>
      </c>
      <c r="AT863" s="29"/>
      <c r="AU863" s="27">
        <v>11.358000000000001</v>
      </c>
      <c r="AV863" s="27">
        <f>AU864/AU863</f>
        <v>0.32285613664377527</v>
      </c>
      <c r="AY863" s="27">
        <v>1</v>
      </c>
      <c r="BC863" s="29"/>
      <c r="BE863" s="29"/>
      <c r="BF863" s="27">
        <v>8.0109999999999992</v>
      </c>
      <c r="BG863" s="27">
        <f>BF864/BF863</f>
        <v>0.80139807764324056</v>
      </c>
    </row>
    <row r="864" spans="1:72" s="27" customFormat="1" ht="20.25" customHeight="1" x14ac:dyDescent="0.45">
      <c r="A864" s="26"/>
      <c r="B864" s="28"/>
      <c r="C864" s="27">
        <v>0</v>
      </c>
      <c r="D864" s="27">
        <v>0</v>
      </c>
      <c r="E864" s="27">
        <v>0</v>
      </c>
      <c r="F864" s="27">
        <v>0</v>
      </c>
      <c r="G864" s="27">
        <v>18.603999999999999</v>
      </c>
      <c r="H864" s="27">
        <v>0</v>
      </c>
      <c r="T864" s="27">
        <v>1</v>
      </c>
      <c r="U864" s="27">
        <v>0.51100000000000001</v>
      </c>
      <c r="V864" s="27">
        <v>3.895</v>
      </c>
      <c r="W864" s="27">
        <v>2.0409999999999999</v>
      </c>
      <c r="X864" s="27">
        <v>6</v>
      </c>
      <c r="Y864" s="27">
        <v>-38.417999999999999</v>
      </c>
      <c r="Z864" s="27">
        <v>4.2919999999999998</v>
      </c>
      <c r="AC864" s="27">
        <v>5</v>
      </c>
      <c r="AD864" s="29"/>
      <c r="AE864" s="27">
        <v>6.7030000000000003</v>
      </c>
      <c r="AF864" s="29"/>
      <c r="AL864" s="29"/>
      <c r="AM864" s="29"/>
      <c r="AN864" s="27">
        <v>8</v>
      </c>
      <c r="AT864" s="29"/>
      <c r="AU864" s="27">
        <v>3.6669999999999998</v>
      </c>
      <c r="AV864" s="29"/>
      <c r="AY864" s="27">
        <v>2</v>
      </c>
      <c r="BC864" s="29"/>
      <c r="BE864" s="29"/>
      <c r="BF864" s="27">
        <v>6.42</v>
      </c>
      <c r="BG864" s="29"/>
    </row>
    <row r="865" spans="1:59" s="27" customFormat="1" ht="20.25" customHeight="1" x14ac:dyDescent="0.45">
      <c r="A865" s="26"/>
      <c r="B865" s="28"/>
      <c r="C865" s="27">
        <v>0.41699999999999998</v>
      </c>
      <c r="D865" s="27">
        <v>16.555</v>
      </c>
      <c r="E865" s="27">
        <v>3</v>
      </c>
      <c r="F865" s="27">
        <v>37.799999999999997</v>
      </c>
      <c r="G865" s="27">
        <v>-93.813999999999993</v>
      </c>
      <c r="H865" s="27">
        <v>3.4870000000000001</v>
      </c>
      <c r="T865" s="29"/>
      <c r="U865" s="27">
        <v>0</v>
      </c>
      <c r="V865" s="27">
        <v>0</v>
      </c>
      <c r="W865" s="27">
        <v>0</v>
      </c>
      <c r="X865" s="27">
        <v>0</v>
      </c>
      <c r="Y865" s="27">
        <v>162.76300000000001</v>
      </c>
      <c r="Z865" s="27">
        <v>0</v>
      </c>
      <c r="AC865" s="27">
        <v>6</v>
      </c>
      <c r="AD865" s="27">
        <v>52.366</v>
      </c>
      <c r="AE865" s="29"/>
      <c r="AF865" s="29"/>
      <c r="AL865" s="29"/>
      <c r="AM865" s="29"/>
      <c r="AN865" s="27">
        <v>9</v>
      </c>
      <c r="AT865" s="27">
        <v>169.739</v>
      </c>
      <c r="AU865" s="29"/>
      <c r="AV865" s="29"/>
      <c r="AY865" s="27">
        <v>3</v>
      </c>
      <c r="BC865" s="29"/>
      <c r="BE865" s="27">
        <v>168.74100000000001</v>
      </c>
      <c r="BF865" s="29"/>
      <c r="BG865" s="29"/>
    </row>
    <row r="866" spans="1:59" s="27" customFormat="1" ht="20.25" customHeight="1" x14ac:dyDescent="0.45">
      <c r="A866" s="26"/>
      <c r="B866" s="28"/>
      <c r="C866" s="27">
        <v>0</v>
      </c>
      <c r="D866" s="27">
        <v>0</v>
      </c>
      <c r="E866" s="27">
        <v>0</v>
      </c>
      <c r="F866" s="27">
        <v>0</v>
      </c>
      <c r="G866" s="27">
        <v>170.86</v>
      </c>
      <c r="H866" s="27">
        <v>0</v>
      </c>
      <c r="N866" s="27" t="s">
        <v>123</v>
      </c>
      <c r="O866" s="27">
        <v>0</v>
      </c>
      <c r="AC866" s="27">
        <v>7</v>
      </c>
      <c r="AD866" s="29"/>
      <c r="AE866" s="27">
        <v>8.8840000000000003</v>
      </c>
      <c r="AF866" s="27">
        <f>AE867/AE866</f>
        <v>0.63000900495272405</v>
      </c>
      <c r="AL866" s="29"/>
      <c r="AM866" s="29"/>
      <c r="AN866" s="27">
        <v>10</v>
      </c>
      <c r="AO866" s="29"/>
      <c r="AP866" s="27">
        <v>10.214</v>
      </c>
      <c r="AQ866" s="27">
        <f>AP867/AP866</f>
        <v>0.39015077344820831</v>
      </c>
      <c r="AY866" s="27">
        <v>4</v>
      </c>
      <c r="BC866" s="29"/>
      <c r="BE866" s="29"/>
      <c r="BF866" s="27">
        <v>9.5549999999999997</v>
      </c>
      <c r="BG866" s="27">
        <f>BF867/BF866</f>
        <v>0.53417059131344846</v>
      </c>
    </row>
    <row r="867" spans="1:59" s="27" customFormat="1" ht="20.25" customHeight="1" x14ac:dyDescent="0.45">
      <c r="A867" s="26"/>
      <c r="B867" s="28"/>
      <c r="C867" s="27" t="s">
        <v>126</v>
      </c>
      <c r="D867" s="27">
        <v>4</v>
      </c>
      <c r="L867" s="27">
        <v>5</v>
      </c>
      <c r="M867" s="27">
        <v>1</v>
      </c>
      <c r="N867" s="27">
        <v>0.47099999999999997</v>
      </c>
      <c r="O867" s="27">
        <v>7.4989999999999997</v>
      </c>
      <c r="P867" s="27">
        <v>3.2749999999999999</v>
      </c>
      <c r="Q867" s="27">
        <v>18.661999999999999</v>
      </c>
      <c r="R867" s="27">
        <v>54.462000000000003</v>
      </c>
      <c r="S867" s="27">
        <v>3.99</v>
      </c>
      <c r="AC867" s="27">
        <v>8</v>
      </c>
      <c r="AD867" s="29"/>
      <c r="AE867" s="27">
        <v>5.5970000000000004</v>
      </c>
      <c r="AF867" s="29"/>
      <c r="AL867" s="29"/>
      <c r="AM867" s="29"/>
      <c r="AN867" s="27">
        <v>11</v>
      </c>
      <c r="AO867" s="29"/>
      <c r="AP867" s="27">
        <v>3.9849999999999999</v>
      </c>
      <c r="AQ867" s="29"/>
      <c r="AY867" s="27">
        <v>5</v>
      </c>
      <c r="BC867" s="29"/>
      <c r="BE867" s="29"/>
      <c r="BF867" s="27">
        <v>5.1040000000000001</v>
      </c>
      <c r="BG867" s="29"/>
    </row>
    <row r="868" spans="1:59" s="27" customFormat="1" ht="20.25" customHeight="1" x14ac:dyDescent="0.45">
      <c r="A868" s="26">
        <v>4</v>
      </c>
      <c r="B868" s="28">
        <v>1</v>
      </c>
      <c r="C868" s="27">
        <v>0.33600000000000002</v>
      </c>
      <c r="D868" s="27">
        <v>2.5640000000000001</v>
      </c>
      <c r="E868" s="27">
        <v>1.889</v>
      </c>
      <c r="F868" s="27">
        <v>4.4169999999999998</v>
      </c>
      <c r="G868" s="27">
        <v>145.00800000000001</v>
      </c>
      <c r="H868" s="27">
        <v>2.831</v>
      </c>
      <c r="M868" s="29"/>
      <c r="N868" s="27">
        <v>0</v>
      </c>
      <c r="O868" s="27">
        <v>0</v>
      </c>
      <c r="P868" s="27">
        <v>0</v>
      </c>
      <c r="Q868" s="27">
        <v>0</v>
      </c>
      <c r="R868" s="27">
        <v>9.1959999999999997</v>
      </c>
      <c r="S868" s="27">
        <v>3.99</v>
      </c>
      <c r="AC868" s="27">
        <v>9</v>
      </c>
      <c r="AD868" s="27">
        <v>67.88</v>
      </c>
      <c r="AE868" s="29"/>
      <c r="AF868" s="29"/>
      <c r="AL868" s="29"/>
      <c r="AM868" s="29"/>
      <c r="AN868" s="27">
        <v>12</v>
      </c>
      <c r="AO868" s="27">
        <v>87.908000000000001</v>
      </c>
      <c r="AP868" s="29"/>
      <c r="AQ868" s="29"/>
      <c r="AY868" s="27">
        <v>6</v>
      </c>
      <c r="BC868" s="29"/>
      <c r="BE868" s="27">
        <v>165.72800000000001</v>
      </c>
      <c r="BF868" s="29"/>
      <c r="BG868" s="29"/>
    </row>
    <row r="869" spans="1:59" s="27" customFormat="1" ht="20.25" customHeight="1" x14ac:dyDescent="0.45">
      <c r="A869" s="26"/>
      <c r="B869" s="28"/>
      <c r="C869" s="27">
        <v>0</v>
      </c>
      <c r="D869" s="27">
        <v>0</v>
      </c>
      <c r="E869" s="27">
        <v>0</v>
      </c>
      <c r="F869" s="27">
        <v>0</v>
      </c>
      <c r="G869" s="27">
        <v>176.64699999999999</v>
      </c>
      <c r="H869" s="27">
        <v>0</v>
      </c>
      <c r="N869" s="27" t="s">
        <v>123</v>
      </c>
      <c r="O869" s="27">
        <v>0</v>
      </c>
      <c r="AB869" s="27" t="s">
        <v>129</v>
      </c>
      <c r="AC869" s="27">
        <v>1</v>
      </c>
      <c r="AD869" s="29"/>
      <c r="AE869" s="27">
        <v>8.5280000000000005</v>
      </c>
      <c r="AF869" s="27">
        <f>AE870/AE869</f>
        <v>0.62394465290806744</v>
      </c>
      <c r="AL869" s="29"/>
      <c r="AM869" s="29"/>
      <c r="AN869" s="27">
        <v>1</v>
      </c>
      <c r="AO869" s="29"/>
      <c r="AP869" s="27">
        <v>12.624000000000001</v>
      </c>
      <c r="AQ869" s="27">
        <f>AP870/AP869</f>
        <v>0.32984790874524711</v>
      </c>
      <c r="AY869" s="27">
        <v>7</v>
      </c>
      <c r="BC869" s="29"/>
      <c r="BE869" s="29"/>
      <c r="BF869" s="27">
        <v>7.8810000000000002</v>
      </c>
      <c r="BG869" s="27">
        <f>BF870/BF869</f>
        <v>0.37685572896840502</v>
      </c>
    </row>
    <row r="870" spans="1:59" s="27" customFormat="1" ht="20.25" customHeight="1" x14ac:dyDescent="0.45">
      <c r="A870" s="26"/>
      <c r="B870" s="28"/>
      <c r="C870" s="27">
        <v>0.25600000000000001</v>
      </c>
      <c r="D870" s="27">
        <v>2.6749999999999998</v>
      </c>
      <c r="E870" s="27">
        <v>1.333</v>
      </c>
      <c r="F870" s="27">
        <v>5</v>
      </c>
      <c r="G870" s="27">
        <v>153.435</v>
      </c>
      <c r="H870" s="27">
        <v>2.0750000000000002</v>
      </c>
      <c r="L870" s="27">
        <v>6</v>
      </c>
      <c r="N870" s="27" t="s">
        <v>123</v>
      </c>
      <c r="O870" s="27">
        <v>3</v>
      </c>
      <c r="AC870" s="27">
        <v>2</v>
      </c>
      <c r="AD870" s="29"/>
      <c r="AE870" s="27">
        <v>5.3209999999999997</v>
      </c>
      <c r="AF870" s="29"/>
      <c r="AL870" s="29"/>
      <c r="AM870" s="29"/>
      <c r="AN870" s="27">
        <v>2</v>
      </c>
      <c r="AO870" s="29"/>
      <c r="AP870" s="27">
        <v>4.1639999999999997</v>
      </c>
      <c r="AQ870" s="29"/>
      <c r="AY870" s="27">
        <v>8</v>
      </c>
      <c r="BC870" s="29"/>
      <c r="BE870" s="29"/>
      <c r="BF870" s="27">
        <v>2.97</v>
      </c>
      <c r="BG870" s="29"/>
    </row>
    <row r="871" spans="1:59" s="27" customFormat="1" ht="20.25" customHeight="1" x14ac:dyDescent="0.45">
      <c r="A871" s="26"/>
      <c r="B871" s="28"/>
      <c r="C871" s="27">
        <v>0</v>
      </c>
      <c r="D871" s="27">
        <v>0</v>
      </c>
      <c r="E871" s="27">
        <v>0</v>
      </c>
      <c r="F871" s="27">
        <v>0</v>
      </c>
      <c r="G871" s="27">
        <v>160.38200000000001</v>
      </c>
      <c r="H871" s="27">
        <v>0</v>
      </c>
      <c r="L871" s="27">
        <v>7</v>
      </c>
      <c r="M871" s="27">
        <v>1</v>
      </c>
      <c r="N871" s="27">
        <v>0.92800000000000005</v>
      </c>
      <c r="O871" s="27">
        <v>5.2069999999999999</v>
      </c>
      <c r="P871" s="27">
        <v>3.0670000000000002</v>
      </c>
      <c r="Q871" s="27">
        <v>13.973000000000001</v>
      </c>
      <c r="R871" s="27">
        <v>61.189</v>
      </c>
      <c r="S871" s="27">
        <v>7.923</v>
      </c>
      <c r="AC871" s="27">
        <v>3</v>
      </c>
      <c r="AD871" s="27">
        <v>80.027000000000001</v>
      </c>
      <c r="AE871" s="29"/>
      <c r="AF871" s="29"/>
      <c r="AL871" s="29"/>
      <c r="AM871" s="29"/>
      <c r="AN871" s="27">
        <v>3</v>
      </c>
      <c r="AO871" s="27">
        <v>47.274000000000001</v>
      </c>
      <c r="AP871" s="29"/>
      <c r="AQ871" s="29"/>
      <c r="AY871" s="27">
        <v>9</v>
      </c>
      <c r="BC871" s="29"/>
      <c r="BE871" s="27">
        <v>130.53</v>
      </c>
      <c r="BF871" s="29"/>
      <c r="BG871" s="29"/>
    </row>
    <row r="872" spans="1:59" s="27" customFormat="1" ht="20.25" customHeight="1" x14ac:dyDescent="0.45">
      <c r="A872" s="26"/>
      <c r="B872" s="28">
        <v>1</v>
      </c>
      <c r="C872" s="27">
        <v>0.48399999999999999</v>
      </c>
      <c r="D872" s="27">
        <v>6.6109999999999998</v>
      </c>
      <c r="E872" s="27">
        <v>3</v>
      </c>
      <c r="F872" s="27">
        <v>17</v>
      </c>
      <c r="G872" s="27">
        <v>180</v>
      </c>
      <c r="H872" s="27">
        <v>4.0590000000000002</v>
      </c>
      <c r="M872" s="29"/>
      <c r="N872" s="27">
        <v>0</v>
      </c>
      <c r="O872" s="27">
        <v>0</v>
      </c>
      <c r="P872" s="27">
        <v>0</v>
      </c>
      <c r="Q872" s="27">
        <v>0</v>
      </c>
      <c r="R872" s="27">
        <v>173.649</v>
      </c>
      <c r="S872" s="27">
        <v>0</v>
      </c>
      <c r="AC872" s="27">
        <v>4</v>
      </c>
      <c r="AD872" s="29"/>
      <c r="AE872" s="27">
        <v>8.4670000000000005</v>
      </c>
      <c r="AF872" s="27">
        <f>AE873/AE872</f>
        <v>0.48883902208574465</v>
      </c>
      <c r="AL872" s="29"/>
      <c r="AM872" s="29"/>
      <c r="AN872" s="27">
        <v>4</v>
      </c>
      <c r="AO872" s="29"/>
      <c r="AP872" s="27">
        <v>9.5350000000000001</v>
      </c>
      <c r="AQ872" s="27">
        <f>AP873/AP872</f>
        <v>0.41510225485055063</v>
      </c>
      <c r="AY872" s="27">
        <v>10</v>
      </c>
      <c r="BC872" s="29"/>
      <c r="BE872" s="29"/>
      <c r="BF872" s="27">
        <v>6.7869999999999999</v>
      </c>
      <c r="BG872" s="27">
        <f>BF873/BF872</f>
        <v>0.56873434507146015</v>
      </c>
    </row>
    <row r="873" spans="1:59" s="27" customFormat="1" ht="20.25" customHeight="1" x14ac:dyDescent="0.45">
      <c r="A873" s="26"/>
      <c r="B873" s="28"/>
      <c r="C873" s="27">
        <v>0</v>
      </c>
      <c r="D873" s="27">
        <v>0</v>
      </c>
      <c r="E873" s="27">
        <v>0</v>
      </c>
      <c r="F873" s="27">
        <v>0</v>
      </c>
      <c r="G873" s="27">
        <v>164.09800000000001</v>
      </c>
      <c r="H873" s="27">
        <v>0</v>
      </c>
      <c r="M873" s="29"/>
      <c r="N873" s="27">
        <v>0.61899999999999999</v>
      </c>
      <c r="O873" s="27">
        <v>7.1360000000000001</v>
      </c>
      <c r="P873" s="27">
        <v>4.0259999999999998</v>
      </c>
      <c r="Q873" s="27">
        <v>20.056000000000001</v>
      </c>
      <c r="R873" s="27">
        <v>70.769000000000005</v>
      </c>
      <c r="S873" s="27">
        <v>5.2320000000000002</v>
      </c>
      <c r="AC873" s="27">
        <v>5</v>
      </c>
      <c r="AD873" s="29"/>
      <c r="AE873" s="27">
        <v>4.1390000000000002</v>
      </c>
      <c r="AF873" s="29"/>
      <c r="AL873" s="29"/>
      <c r="AM873" s="29"/>
      <c r="AN873" s="27">
        <v>5</v>
      </c>
      <c r="AO873" s="29"/>
      <c r="AP873" s="27">
        <v>3.9580000000000002</v>
      </c>
      <c r="AQ873" s="29"/>
      <c r="AY873" s="27">
        <v>11</v>
      </c>
      <c r="BC873" s="29"/>
      <c r="BE873" s="29"/>
      <c r="BF873" s="27">
        <v>3.86</v>
      </c>
      <c r="BG873" s="29"/>
    </row>
    <row r="874" spans="1:59" s="27" customFormat="1" ht="20.25" customHeight="1" x14ac:dyDescent="0.45">
      <c r="A874" s="26"/>
      <c r="B874" s="28">
        <v>1</v>
      </c>
      <c r="C874" s="27">
        <v>0.41699999999999998</v>
      </c>
      <c r="D874" s="27">
        <v>4.7850000000000001</v>
      </c>
      <c r="E874" s="27">
        <v>2.96</v>
      </c>
      <c r="F874" s="27">
        <v>6.68</v>
      </c>
      <c r="G874" s="27">
        <v>152.59200000000001</v>
      </c>
      <c r="H874" s="27">
        <v>3.5270000000000001</v>
      </c>
      <c r="M874" s="29"/>
      <c r="N874" s="27">
        <v>0</v>
      </c>
      <c r="O874" s="27">
        <v>0</v>
      </c>
      <c r="P874" s="27">
        <v>0</v>
      </c>
      <c r="Q874" s="27">
        <v>0</v>
      </c>
      <c r="R874" s="27">
        <v>156.16800000000001</v>
      </c>
      <c r="S874" s="27">
        <v>0</v>
      </c>
      <c r="AC874" s="27">
        <v>6</v>
      </c>
      <c r="AD874" s="27">
        <v>81.162999999999997</v>
      </c>
      <c r="AE874" s="29"/>
      <c r="AF874" s="29"/>
      <c r="AL874" s="29"/>
      <c r="AM874" s="29"/>
      <c r="AN874" s="27">
        <v>6</v>
      </c>
      <c r="AO874" s="27">
        <v>72.912999999999997</v>
      </c>
      <c r="AP874" s="29"/>
      <c r="AQ874" s="29"/>
      <c r="AY874" s="27">
        <v>12</v>
      </c>
      <c r="BC874" s="29"/>
      <c r="BE874" s="27">
        <v>170.52199999999999</v>
      </c>
      <c r="BF874" s="29"/>
      <c r="BG874" s="29"/>
    </row>
    <row r="875" spans="1:59" s="27" customFormat="1" ht="20.25" customHeight="1" x14ac:dyDescent="0.45">
      <c r="A875" s="26"/>
      <c r="B875" s="29"/>
      <c r="C875" s="27">
        <v>0</v>
      </c>
      <c r="D875" s="27">
        <v>0</v>
      </c>
      <c r="E875" s="27">
        <v>0</v>
      </c>
      <c r="F875" s="27">
        <v>0</v>
      </c>
      <c r="G875" s="27">
        <v>133.36600000000001</v>
      </c>
      <c r="H875" s="27">
        <v>3.5270000000000001</v>
      </c>
      <c r="M875" s="29"/>
      <c r="N875" s="27">
        <v>0.32300000000000001</v>
      </c>
      <c r="O875" s="27">
        <v>6.1909999999999998</v>
      </c>
      <c r="P875" s="27">
        <v>4.0960000000000001</v>
      </c>
      <c r="Q875" s="27">
        <v>9.7509999999999994</v>
      </c>
      <c r="R875" s="27">
        <v>94.97</v>
      </c>
      <c r="S875" s="27">
        <v>2.71</v>
      </c>
      <c r="AC875" s="27">
        <v>7</v>
      </c>
      <c r="AH875" s="29"/>
      <c r="AI875" s="27">
        <v>6.3150000000000004</v>
      </c>
      <c r="AJ875" s="27">
        <f>AI876/AI875</f>
        <v>0.54536817102137758</v>
      </c>
      <c r="AL875" s="29"/>
      <c r="AM875" s="29"/>
      <c r="AN875" s="27">
        <v>7</v>
      </c>
      <c r="AO875" s="29"/>
      <c r="AP875" s="27">
        <v>9.1440000000000001</v>
      </c>
      <c r="AQ875" s="27">
        <f>AP876/AP875</f>
        <v>0.38156167979002625</v>
      </c>
      <c r="AX875" s="27" t="s">
        <v>130</v>
      </c>
      <c r="AY875" s="27">
        <v>1</v>
      </c>
      <c r="BC875" s="29"/>
      <c r="BE875" s="29"/>
      <c r="BF875" s="27">
        <v>10.414999999999999</v>
      </c>
      <c r="BG875" s="27">
        <f>BF876/BF875</f>
        <v>0.4094095055208834</v>
      </c>
    </row>
    <row r="876" spans="1:59" s="27" customFormat="1" ht="20.25" customHeight="1" x14ac:dyDescent="0.45">
      <c r="A876" s="26"/>
      <c r="B876" s="27">
        <v>1</v>
      </c>
      <c r="C876" s="27">
        <v>0.39</v>
      </c>
      <c r="D876" s="27">
        <v>34.302999999999997</v>
      </c>
      <c r="E876" s="27">
        <v>14.388</v>
      </c>
      <c r="F876" s="27">
        <v>81.106999999999999</v>
      </c>
      <c r="G876" s="27">
        <v>-46.469000000000001</v>
      </c>
      <c r="H876" s="27">
        <v>3.1989999999999998</v>
      </c>
      <c r="M876" s="29"/>
      <c r="N876" s="27">
        <v>0</v>
      </c>
      <c r="O876" s="27">
        <v>0</v>
      </c>
      <c r="P876" s="27">
        <v>0</v>
      </c>
      <c r="Q876" s="27">
        <v>0</v>
      </c>
      <c r="R876" s="27">
        <v>132.50200000000001</v>
      </c>
      <c r="S876" s="27">
        <v>0</v>
      </c>
      <c r="AC876" s="27">
        <v>8</v>
      </c>
      <c r="AH876" s="29"/>
      <c r="AI876" s="27">
        <v>3.444</v>
      </c>
      <c r="AJ876" s="29"/>
      <c r="AL876" s="29"/>
      <c r="AM876" s="29"/>
      <c r="AN876" s="27">
        <v>8</v>
      </c>
      <c r="AO876" s="29"/>
      <c r="AP876" s="27">
        <v>3.4889999999999999</v>
      </c>
      <c r="AQ876" s="29"/>
      <c r="AY876" s="27">
        <v>2</v>
      </c>
      <c r="BC876" s="29"/>
      <c r="BE876" s="29"/>
      <c r="BF876" s="27">
        <v>4.2640000000000002</v>
      </c>
      <c r="BG876" s="29"/>
    </row>
    <row r="877" spans="1:59" s="27" customFormat="1" ht="20.25" customHeight="1" x14ac:dyDescent="0.45">
      <c r="A877" s="26"/>
      <c r="B877" s="28"/>
      <c r="C877" s="27">
        <v>0</v>
      </c>
      <c r="D877" s="27">
        <v>0</v>
      </c>
      <c r="E877" s="27">
        <v>0</v>
      </c>
      <c r="F877" s="27">
        <v>0</v>
      </c>
      <c r="G877" s="27">
        <v>167.72</v>
      </c>
      <c r="H877" s="27">
        <v>3.1989999999999998</v>
      </c>
      <c r="M877" s="27">
        <v>1</v>
      </c>
      <c r="N877" s="27">
        <v>0.44400000000000001</v>
      </c>
      <c r="O877" s="27">
        <v>2.0350000000000001</v>
      </c>
      <c r="P877" s="27">
        <v>0.15</v>
      </c>
      <c r="Q877" s="27">
        <v>3.5</v>
      </c>
      <c r="R877" s="27">
        <v>-123.69</v>
      </c>
      <c r="S877" s="27">
        <v>3.7629999999999999</v>
      </c>
      <c r="AC877" s="27">
        <v>9</v>
      </c>
      <c r="AH877" s="27">
        <v>149.292</v>
      </c>
      <c r="AI877" s="29"/>
      <c r="AJ877" s="29"/>
      <c r="AL877" s="29"/>
      <c r="AM877" s="29"/>
      <c r="AN877" s="27">
        <v>9</v>
      </c>
      <c r="AO877" s="27">
        <v>78.69</v>
      </c>
      <c r="AP877" s="29"/>
      <c r="AQ877" s="29"/>
      <c r="AY877" s="27">
        <v>3</v>
      </c>
      <c r="BC877" s="29"/>
      <c r="BE877" s="27">
        <v>173.30600000000001</v>
      </c>
      <c r="BF877" s="29"/>
      <c r="BG877" s="29"/>
    </row>
    <row r="878" spans="1:59" s="27" customFormat="1" ht="20.25" customHeight="1" x14ac:dyDescent="0.45">
      <c r="A878" s="26"/>
      <c r="B878" s="28"/>
      <c r="C878" s="27">
        <v>0.33600000000000002</v>
      </c>
      <c r="D878" s="27">
        <v>24.113</v>
      </c>
      <c r="E878" s="27">
        <v>1.889</v>
      </c>
      <c r="F878" s="27">
        <v>74.153000000000006</v>
      </c>
      <c r="G878" s="27">
        <v>-34.991999999999997</v>
      </c>
      <c r="H878" s="27">
        <v>2.831</v>
      </c>
      <c r="M878" s="29"/>
      <c r="N878" s="27">
        <v>0</v>
      </c>
      <c r="O878" s="27">
        <v>0</v>
      </c>
      <c r="P878" s="27">
        <v>0</v>
      </c>
      <c r="Q878" s="27">
        <v>0</v>
      </c>
      <c r="R878" s="27">
        <v>177.60599999999999</v>
      </c>
      <c r="S878" s="27">
        <v>3.7629999999999999</v>
      </c>
      <c r="AB878" s="27" t="s">
        <v>131</v>
      </c>
      <c r="AC878" s="27">
        <v>1</v>
      </c>
      <c r="AH878" s="29"/>
      <c r="AI878" s="27">
        <v>8.9209999999999994</v>
      </c>
      <c r="AJ878" s="27">
        <f>AI879/AI878</f>
        <v>0.57975563277659459</v>
      </c>
      <c r="AL878" s="29"/>
      <c r="AM878" s="29"/>
      <c r="AN878" s="27">
        <v>10</v>
      </c>
      <c r="AO878" s="29"/>
      <c r="AP878" s="27">
        <v>10.092000000000001</v>
      </c>
      <c r="AQ878" s="27">
        <f>AP879/AP878</f>
        <v>0.36841062227506932</v>
      </c>
      <c r="AY878" s="27">
        <v>4</v>
      </c>
      <c r="BC878" s="29"/>
      <c r="BE878" s="29"/>
      <c r="BF878" s="27">
        <v>9.1639999999999997</v>
      </c>
      <c r="BG878" s="27">
        <f>BF879/BF878</f>
        <v>0.63269314709733748</v>
      </c>
    </row>
    <row r="879" spans="1:59" s="27" customFormat="1" ht="20.25" customHeight="1" x14ac:dyDescent="0.45">
      <c r="A879" s="26"/>
      <c r="B879" s="28"/>
      <c r="C879" s="27">
        <v>0</v>
      </c>
      <c r="D879" s="27">
        <v>0</v>
      </c>
      <c r="E879" s="27">
        <v>0</v>
      </c>
      <c r="F879" s="27">
        <v>0</v>
      </c>
      <c r="G879" s="27">
        <v>154.113</v>
      </c>
      <c r="H879" s="27">
        <v>3.5270000000000001</v>
      </c>
      <c r="L879" s="27">
        <v>8</v>
      </c>
      <c r="T879" s="27">
        <v>1</v>
      </c>
      <c r="U879" s="27">
        <v>0.65900000000000003</v>
      </c>
      <c r="V879" s="27">
        <v>5.9690000000000003</v>
      </c>
      <c r="W879" s="27">
        <v>3.9540000000000002</v>
      </c>
      <c r="X879" s="27">
        <v>8.0280000000000005</v>
      </c>
      <c r="Y879" s="27">
        <v>62.904000000000003</v>
      </c>
      <c r="Z879" s="27">
        <v>5.5670000000000002</v>
      </c>
      <c r="AC879" s="27">
        <v>2</v>
      </c>
      <c r="AH879" s="29"/>
      <c r="AI879" s="27">
        <v>5.1719999999999997</v>
      </c>
      <c r="AJ879" s="29"/>
      <c r="AL879" s="29"/>
      <c r="AM879" s="29"/>
      <c r="AN879" s="27">
        <v>11</v>
      </c>
      <c r="AO879" s="29"/>
      <c r="AP879" s="27">
        <v>3.718</v>
      </c>
      <c r="AQ879" s="29"/>
      <c r="AY879" s="27">
        <v>5</v>
      </c>
      <c r="BC879" s="29"/>
      <c r="BE879" s="29"/>
      <c r="BF879" s="27">
        <v>5.798</v>
      </c>
      <c r="BG879" s="29"/>
    </row>
    <row r="880" spans="1:59" s="27" customFormat="1" ht="20.25" customHeight="1" x14ac:dyDescent="0.45">
      <c r="A880" s="26"/>
      <c r="B880" s="28"/>
      <c r="C880" s="27" t="s">
        <v>126</v>
      </c>
      <c r="D880" s="27">
        <v>5</v>
      </c>
      <c r="T880" s="29"/>
      <c r="U880" s="27">
        <v>0</v>
      </c>
      <c r="V880" s="27">
        <v>0</v>
      </c>
      <c r="W880" s="27">
        <v>0</v>
      </c>
      <c r="X880" s="27">
        <v>0</v>
      </c>
      <c r="Y880" s="27">
        <v>90.251000000000005</v>
      </c>
      <c r="Z880" s="27">
        <v>5.5670000000000002</v>
      </c>
      <c r="AC880" s="27">
        <v>3</v>
      </c>
      <c r="AH880" s="27">
        <v>148.34100000000001</v>
      </c>
      <c r="AI880" s="29"/>
      <c r="AJ880" s="29"/>
      <c r="AL880" s="29"/>
      <c r="AM880" s="29"/>
      <c r="AN880" s="27">
        <v>12</v>
      </c>
      <c r="AO880" s="27">
        <v>26.155000000000001</v>
      </c>
      <c r="AP880" s="29"/>
      <c r="AQ880" s="29"/>
      <c r="AY880" s="27">
        <v>6</v>
      </c>
      <c r="BC880" s="29"/>
      <c r="BE880" s="27">
        <v>177.047</v>
      </c>
      <c r="BF880" s="29"/>
      <c r="BG880" s="29"/>
    </row>
    <row r="881" spans="1:59" s="27" customFormat="1" ht="20.25" customHeight="1" x14ac:dyDescent="0.45">
      <c r="A881" s="26">
        <v>5</v>
      </c>
      <c r="E881" s="28">
        <v>1</v>
      </c>
      <c r="F881" s="27">
        <v>0.95499999999999996</v>
      </c>
      <c r="G881" s="27">
        <v>33.442999999999998</v>
      </c>
      <c r="H881" s="27">
        <v>5.8860000000000001</v>
      </c>
      <c r="I881" s="27">
        <v>99.7</v>
      </c>
      <c r="J881" s="27">
        <v>29.846</v>
      </c>
      <c r="K881" s="27">
        <v>8.1560000000000006</v>
      </c>
      <c r="T881" s="29"/>
      <c r="U881" s="27">
        <v>0.47099999999999997</v>
      </c>
      <c r="V881" s="27">
        <v>6.548</v>
      </c>
      <c r="W881" s="27">
        <v>5.0629999999999997</v>
      </c>
      <c r="X881" s="27">
        <v>10.119999999999999</v>
      </c>
      <c r="Y881" s="27">
        <v>-112.751</v>
      </c>
      <c r="Z881" s="27">
        <v>3.9489999999999998</v>
      </c>
      <c r="AC881" s="27">
        <v>4</v>
      </c>
      <c r="AH881" s="29"/>
      <c r="AI881" s="27">
        <v>7.2050000000000001</v>
      </c>
      <c r="AJ881" s="27">
        <f>AI882/AI881</f>
        <v>0.56308119361554476</v>
      </c>
      <c r="AL881" s="29"/>
      <c r="AM881" s="29"/>
      <c r="AN881" s="27">
        <v>1</v>
      </c>
      <c r="AT881" s="29"/>
      <c r="AU881" s="27">
        <v>9.7119999999999997</v>
      </c>
      <c r="AV881" s="27">
        <f>AU882/AU881</f>
        <v>0.4562397034596376</v>
      </c>
      <c r="AY881" s="27">
        <v>7</v>
      </c>
      <c r="BC881" s="29"/>
      <c r="BE881" s="29"/>
      <c r="BF881" s="27">
        <v>9.5830000000000002</v>
      </c>
      <c r="BG881" s="27">
        <f>BF882/BF881</f>
        <v>0.45184180319315453</v>
      </c>
    </row>
    <row r="882" spans="1:59" s="27" customFormat="1" ht="20.25" customHeight="1" x14ac:dyDescent="0.45">
      <c r="A882" s="26"/>
      <c r="E882" s="28"/>
      <c r="F882" s="27">
        <v>0</v>
      </c>
      <c r="G882" s="27">
        <v>0</v>
      </c>
      <c r="H882" s="27">
        <v>0</v>
      </c>
      <c r="I882" s="27">
        <v>0</v>
      </c>
      <c r="J882" s="27">
        <v>140.47999999999999</v>
      </c>
      <c r="K882" s="27">
        <v>8.1560000000000006</v>
      </c>
      <c r="T882" s="29"/>
      <c r="U882" s="27">
        <v>0</v>
      </c>
      <c r="V882" s="27">
        <v>0</v>
      </c>
      <c r="W882" s="27">
        <v>0</v>
      </c>
      <c r="X882" s="27">
        <v>0</v>
      </c>
      <c r="Y882" s="27">
        <v>83.516999999999996</v>
      </c>
      <c r="Z882" s="27">
        <v>0</v>
      </c>
      <c r="AC882" s="27">
        <v>5</v>
      </c>
      <c r="AH882" s="29"/>
      <c r="AI882" s="27">
        <v>4.0570000000000004</v>
      </c>
      <c r="AJ882" s="29"/>
      <c r="AL882" s="29"/>
      <c r="AM882" s="29"/>
      <c r="AN882" s="27">
        <v>2</v>
      </c>
      <c r="AT882" s="29"/>
      <c r="AU882" s="27">
        <v>4.431</v>
      </c>
      <c r="AV882" s="29"/>
      <c r="AY882" s="27">
        <v>8</v>
      </c>
      <c r="BC882" s="29"/>
      <c r="BE882" s="29"/>
      <c r="BF882" s="27">
        <v>4.33</v>
      </c>
      <c r="BG882" s="29"/>
    </row>
    <row r="883" spans="1:59" s="27" customFormat="1" ht="20.25" customHeight="1" x14ac:dyDescent="0.45">
      <c r="A883" s="26"/>
      <c r="B883" s="27">
        <v>1</v>
      </c>
      <c r="C883" s="27">
        <v>0.43</v>
      </c>
      <c r="D883" s="27">
        <v>52.774999999999999</v>
      </c>
      <c r="E883" s="27">
        <v>29</v>
      </c>
      <c r="F883" s="27">
        <v>81.382999999999996</v>
      </c>
      <c r="G883" s="27">
        <v>-19.026</v>
      </c>
      <c r="H883" s="27">
        <v>3.5569999999999999</v>
      </c>
      <c r="T883" s="29"/>
      <c r="U883" s="27">
        <v>0.69899999999999995</v>
      </c>
      <c r="V883" s="27">
        <v>5.5460000000000003</v>
      </c>
      <c r="W883" s="27">
        <v>2.6469999999999998</v>
      </c>
      <c r="X883" s="27">
        <v>15.862</v>
      </c>
      <c r="Y883" s="27">
        <v>76.239000000000004</v>
      </c>
      <c r="Z883" s="27">
        <v>5.907</v>
      </c>
      <c r="AC883" s="27">
        <v>6</v>
      </c>
      <c r="AH883" s="27">
        <v>91.113</v>
      </c>
      <c r="AI883" s="29"/>
      <c r="AJ883" s="29"/>
      <c r="AL883" s="29"/>
      <c r="AM883" s="29"/>
      <c r="AN883" s="27">
        <v>3</v>
      </c>
      <c r="AT883" s="27">
        <v>113.917</v>
      </c>
      <c r="AU883" s="29"/>
      <c r="AV883" s="29"/>
      <c r="AY883" s="27">
        <v>9</v>
      </c>
      <c r="BC883" s="29"/>
      <c r="BE883" s="27">
        <v>177.85499999999999</v>
      </c>
      <c r="BF883" s="29"/>
      <c r="BG883" s="29"/>
    </row>
    <row r="884" spans="1:59" s="27" customFormat="1" ht="20.25" customHeight="1" x14ac:dyDescent="0.45">
      <c r="A884" s="26"/>
      <c r="B884" s="29"/>
      <c r="C884" s="27">
        <v>0</v>
      </c>
      <c r="D884" s="27">
        <v>0</v>
      </c>
      <c r="E884" s="27">
        <v>0</v>
      </c>
      <c r="F884" s="27">
        <v>0</v>
      </c>
      <c r="G884" s="27">
        <v>169.048</v>
      </c>
      <c r="H884" s="27">
        <v>0</v>
      </c>
      <c r="T884" s="29"/>
      <c r="U884" s="27">
        <v>0</v>
      </c>
      <c r="V884" s="27">
        <v>0</v>
      </c>
      <c r="W884" s="27">
        <v>0</v>
      </c>
      <c r="X884" s="27">
        <v>0</v>
      </c>
      <c r="Y884" s="27">
        <v>59.984000000000002</v>
      </c>
      <c r="Z884" s="27">
        <v>0</v>
      </c>
      <c r="AC884" s="27">
        <v>7</v>
      </c>
      <c r="AH884" s="29"/>
      <c r="AI884" s="27">
        <v>8.6980000000000004</v>
      </c>
      <c r="AJ884" s="27">
        <f>AI885/AI884</f>
        <v>0.60807082087836273</v>
      </c>
      <c r="AL884" s="29"/>
      <c r="AM884" s="29"/>
      <c r="AN884" s="27">
        <v>4</v>
      </c>
      <c r="AO884" s="29"/>
      <c r="AP884" s="27">
        <v>12.656000000000001</v>
      </c>
      <c r="AQ884" s="27">
        <f>AP885/AP884</f>
        <v>0.35935524652338813</v>
      </c>
      <c r="AY884" s="27">
        <v>10</v>
      </c>
      <c r="AZ884" s="29"/>
      <c r="BA884" s="27">
        <v>11.007999999999999</v>
      </c>
      <c r="BB884" s="27">
        <f>BA885/BA884</f>
        <v>0.33484738372093026</v>
      </c>
      <c r="BC884" s="29"/>
    </row>
    <row r="885" spans="1:59" s="27" customFormat="1" ht="20.25" customHeight="1" x14ac:dyDescent="0.45">
      <c r="A885" s="26"/>
      <c r="B885" s="29"/>
      <c r="C885" s="27">
        <v>0.52500000000000002</v>
      </c>
      <c r="D885" s="27">
        <v>28.788</v>
      </c>
      <c r="E885" s="27">
        <v>5.7919999999999998</v>
      </c>
      <c r="F885" s="27">
        <v>73</v>
      </c>
      <c r="G885" s="27">
        <v>-109.855</v>
      </c>
      <c r="H885" s="27">
        <v>4.4390000000000001</v>
      </c>
      <c r="T885" s="27">
        <v>1</v>
      </c>
      <c r="U885" s="27">
        <v>0.36299999999999999</v>
      </c>
      <c r="V885" s="27">
        <v>1.601</v>
      </c>
      <c r="W885" s="27">
        <v>1</v>
      </c>
      <c r="X885" s="27">
        <v>2.2309999999999999</v>
      </c>
      <c r="Y885" s="27">
        <v>-94.399000000000001</v>
      </c>
      <c r="Z885" s="27">
        <v>3.024</v>
      </c>
      <c r="AC885" s="27">
        <v>8</v>
      </c>
      <c r="AH885" s="29"/>
      <c r="AI885" s="27">
        <v>5.2889999999999997</v>
      </c>
      <c r="AJ885" s="29"/>
      <c r="AL885" s="29"/>
      <c r="AM885" s="29"/>
      <c r="AN885" s="27">
        <v>5</v>
      </c>
      <c r="AO885" s="29"/>
      <c r="AP885" s="27">
        <v>4.548</v>
      </c>
      <c r="AQ885" s="29"/>
      <c r="AY885" s="27">
        <v>11</v>
      </c>
      <c r="AZ885" s="29"/>
      <c r="BA885" s="27">
        <v>3.6859999999999999</v>
      </c>
      <c r="BB885" s="29"/>
      <c r="BC885" s="29"/>
    </row>
    <row r="886" spans="1:59" s="27" customFormat="1" ht="20.25" customHeight="1" x14ac:dyDescent="0.45">
      <c r="A886" s="26"/>
      <c r="B886" s="29"/>
      <c r="C886" s="27">
        <v>0</v>
      </c>
      <c r="D886" s="27">
        <v>0</v>
      </c>
      <c r="E886" s="27">
        <v>0</v>
      </c>
      <c r="F886" s="27">
        <v>0</v>
      </c>
      <c r="G886" s="27">
        <v>108.896</v>
      </c>
      <c r="H886" s="27">
        <v>0</v>
      </c>
      <c r="T886" s="29"/>
      <c r="U886" s="27">
        <v>0</v>
      </c>
      <c r="V886" s="27">
        <v>0</v>
      </c>
      <c r="W886" s="27">
        <v>0</v>
      </c>
      <c r="X886" s="27">
        <v>0</v>
      </c>
      <c r="Y886" s="27">
        <v>161.565</v>
      </c>
      <c r="Z886" s="27">
        <v>3.024</v>
      </c>
      <c r="AC886" s="27">
        <v>9</v>
      </c>
      <c r="AH886" s="27">
        <v>164.02799999999999</v>
      </c>
      <c r="AI886" s="29"/>
      <c r="AJ886" s="29"/>
      <c r="AL886" s="29"/>
      <c r="AM886" s="29"/>
      <c r="AN886" s="27">
        <v>6</v>
      </c>
      <c r="AO886" s="27">
        <v>35.97</v>
      </c>
      <c r="AP886" s="29"/>
      <c r="AQ886" s="29"/>
      <c r="AY886" s="27">
        <v>12</v>
      </c>
      <c r="AZ886" s="27">
        <v>47.415999999999997</v>
      </c>
      <c r="BA886" s="29"/>
      <c r="BB886" s="29"/>
      <c r="BC886" s="29"/>
    </row>
    <row r="887" spans="1:59" s="27" customFormat="1" ht="20.25" customHeight="1" x14ac:dyDescent="0.45">
      <c r="A887" s="26"/>
      <c r="B887" s="28">
        <v>1</v>
      </c>
      <c r="C887" s="27">
        <v>0.33600000000000002</v>
      </c>
      <c r="D887" s="27">
        <v>3.0529999999999999</v>
      </c>
      <c r="E887" s="27">
        <v>2</v>
      </c>
      <c r="F887" s="27">
        <v>4.0830000000000002</v>
      </c>
      <c r="G887" s="27">
        <v>-114.444</v>
      </c>
      <c r="H887" s="27">
        <v>2.8029999999999999</v>
      </c>
      <c r="T887" s="29"/>
      <c r="U887" s="27">
        <v>0.29599999999999999</v>
      </c>
      <c r="V887" s="27">
        <v>2.125</v>
      </c>
      <c r="W887" s="27">
        <v>1.286</v>
      </c>
      <c r="X887" s="27">
        <v>4</v>
      </c>
      <c r="Y887" s="27">
        <v>60.945</v>
      </c>
      <c r="Z887" s="27">
        <v>2.3879999999999999</v>
      </c>
      <c r="AB887" s="27" t="s">
        <v>132</v>
      </c>
      <c r="AC887" s="27">
        <v>1</v>
      </c>
      <c r="AH887" s="29"/>
      <c r="AI887" s="27">
        <v>7.194</v>
      </c>
      <c r="AJ887" s="27">
        <f>AI888/AI887</f>
        <v>0.67723102585487904</v>
      </c>
      <c r="AL887" s="29"/>
      <c r="AM887" s="29"/>
      <c r="AN887" s="27">
        <v>1</v>
      </c>
      <c r="AO887" s="29"/>
      <c r="AP887" s="27">
        <v>12.327999999999999</v>
      </c>
      <c r="AQ887" s="27">
        <f>AP888/AP887</f>
        <v>0.379704737183647</v>
      </c>
      <c r="AX887" s="27" t="s">
        <v>133</v>
      </c>
      <c r="AY887" s="27">
        <v>1</v>
      </c>
      <c r="BC887" s="29"/>
      <c r="BE887" s="29"/>
      <c r="BF887" s="27">
        <v>9.6370000000000005</v>
      </c>
      <c r="BG887" s="27">
        <f>BF888/BF887</f>
        <v>0.37075853481373872</v>
      </c>
    </row>
    <row r="888" spans="1:59" s="27" customFormat="1" ht="20.25" customHeight="1" x14ac:dyDescent="0.45">
      <c r="A888" s="26"/>
      <c r="B888" s="28"/>
      <c r="C888" s="27">
        <v>0</v>
      </c>
      <c r="D888" s="27">
        <v>0</v>
      </c>
      <c r="E888" s="27">
        <v>0</v>
      </c>
      <c r="F888" s="27">
        <v>0</v>
      </c>
      <c r="G888" s="27">
        <v>171.922</v>
      </c>
      <c r="H888" s="27">
        <v>2.8029999999999999</v>
      </c>
      <c r="T888" s="29"/>
      <c r="U888" s="27">
        <v>0</v>
      </c>
      <c r="V888" s="27">
        <v>0</v>
      </c>
      <c r="W888" s="27">
        <v>0</v>
      </c>
      <c r="X888" s="27">
        <v>0</v>
      </c>
      <c r="Y888" s="27">
        <v>28.702000000000002</v>
      </c>
      <c r="Z888" s="27">
        <v>3.024</v>
      </c>
      <c r="AC888" s="27">
        <v>2</v>
      </c>
      <c r="AH888" s="29"/>
      <c r="AI888" s="27">
        <v>4.8719999999999999</v>
      </c>
      <c r="AJ888" s="29"/>
      <c r="AL888" s="29"/>
      <c r="AM888" s="29"/>
      <c r="AN888" s="27">
        <v>2</v>
      </c>
      <c r="AO888" s="29"/>
      <c r="AP888" s="27">
        <v>4.681</v>
      </c>
      <c r="AQ888" s="29"/>
      <c r="AY888" s="27">
        <v>2</v>
      </c>
      <c r="BC888" s="29"/>
      <c r="BE888" s="29"/>
      <c r="BF888" s="27">
        <v>3.573</v>
      </c>
      <c r="BG888" s="29"/>
    </row>
    <row r="889" spans="1:59" s="27" customFormat="1" ht="20.25" customHeight="1" x14ac:dyDescent="0.45">
      <c r="A889" s="26"/>
      <c r="B889" s="28"/>
      <c r="C889" s="27" t="s">
        <v>126</v>
      </c>
      <c r="D889" s="27">
        <v>5</v>
      </c>
      <c r="T889" s="27">
        <v>1</v>
      </c>
      <c r="U889" s="27">
        <v>0.309</v>
      </c>
      <c r="V889" s="27">
        <v>2.1520000000000001</v>
      </c>
      <c r="W889" s="27">
        <v>1</v>
      </c>
      <c r="X889" s="27">
        <v>3.9380000000000002</v>
      </c>
      <c r="Y889" s="27">
        <v>-110.854</v>
      </c>
      <c r="Z889" s="27">
        <v>2.6059999999999999</v>
      </c>
      <c r="AC889" s="27">
        <v>3</v>
      </c>
      <c r="AH889" s="27">
        <v>90.204999999999998</v>
      </c>
      <c r="AI889" s="29"/>
      <c r="AJ889" s="29"/>
      <c r="AL889" s="29"/>
      <c r="AM889" s="29"/>
      <c r="AN889" s="27">
        <v>3</v>
      </c>
      <c r="AO889" s="27">
        <v>84.814999999999998</v>
      </c>
      <c r="AP889" s="29"/>
      <c r="AQ889" s="29"/>
      <c r="AY889" s="27">
        <v>3</v>
      </c>
      <c r="BC889" s="29"/>
      <c r="BE889" s="27">
        <v>140.38200000000001</v>
      </c>
      <c r="BF889" s="29"/>
      <c r="BG889" s="29"/>
    </row>
    <row r="890" spans="1:59" s="27" customFormat="1" ht="20.25" customHeight="1" x14ac:dyDescent="0.45">
      <c r="A890" s="26">
        <v>6</v>
      </c>
      <c r="B890" s="28"/>
      <c r="E890" s="27">
        <v>1</v>
      </c>
      <c r="F890" s="27">
        <v>0.40300000000000002</v>
      </c>
      <c r="G890" s="27">
        <v>1.5049999999999999</v>
      </c>
      <c r="H890" s="27">
        <v>0.58299999999999996</v>
      </c>
      <c r="I890" s="27">
        <v>2.5870000000000002</v>
      </c>
      <c r="J890" s="27">
        <v>56.31</v>
      </c>
      <c r="K890" s="27">
        <v>3.3450000000000002</v>
      </c>
      <c r="T890" s="29"/>
      <c r="U890" s="27">
        <v>0</v>
      </c>
      <c r="V890" s="27">
        <v>0</v>
      </c>
      <c r="W890" s="27">
        <v>0</v>
      </c>
      <c r="X890" s="27">
        <v>0</v>
      </c>
      <c r="Y890" s="27">
        <v>159.58000000000001</v>
      </c>
      <c r="Z890" s="27">
        <v>2.6059999999999999</v>
      </c>
      <c r="AC890" s="27">
        <v>4</v>
      </c>
      <c r="AH890" s="29"/>
      <c r="AI890" s="27">
        <v>6.5650000000000004</v>
      </c>
      <c r="AJ890" s="27">
        <f>AI891/AI890</f>
        <v>0.63320639756283315</v>
      </c>
      <c r="AL890" s="29"/>
      <c r="AM890" s="29"/>
      <c r="AN890" s="27">
        <v>4</v>
      </c>
      <c r="AO890" s="29"/>
      <c r="AP890" s="27">
        <v>10.239000000000001</v>
      </c>
      <c r="AQ890" s="27">
        <f>AP891/AP890</f>
        <v>0.50649477488035932</v>
      </c>
      <c r="AY890" s="27">
        <v>4</v>
      </c>
      <c r="BC890" s="29"/>
      <c r="BE890" s="29"/>
      <c r="BF890" s="27">
        <v>6.5780000000000003</v>
      </c>
      <c r="BG890" s="27">
        <f>BF891/BF890</f>
        <v>0.62100942535725145</v>
      </c>
    </row>
    <row r="891" spans="1:59" s="27" customFormat="1" ht="20.25" customHeight="1" x14ac:dyDescent="0.45">
      <c r="A891" s="26"/>
      <c r="B891" s="28"/>
      <c r="E891" s="29"/>
      <c r="F891" s="27">
        <v>0</v>
      </c>
      <c r="G891" s="27">
        <v>0</v>
      </c>
      <c r="H891" s="27">
        <v>0</v>
      </c>
      <c r="I891" s="27">
        <v>0</v>
      </c>
      <c r="J891" s="27">
        <v>2.7410000000000001</v>
      </c>
      <c r="K891" s="27">
        <v>0</v>
      </c>
      <c r="N891" s="27" t="s">
        <v>123</v>
      </c>
      <c r="O891" s="27">
        <v>2</v>
      </c>
      <c r="AC891" s="27">
        <v>5</v>
      </c>
      <c r="AH891" s="29"/>
      <c r="AI891" s="27">
        <v>4.157</v>
      </c>
      <c r="AJ891" s="29"/>
      <c r="AL891" s="29"/>
      <c r="AM891" s="29"/>
      <c r="AN891" s="27">
        <v>5</v>
      </c>
      <c r="AO891" s="29"/>
      <c r="AP891" s="27">
        <v>5.1859999999999999</v>
      </c>
      <c r="AQ891" s="29"/>
      <c r="AY891" s="27">
        <v>5</v>
      </c>
      <c r="BC891" s="29"/>
      <c r="BE891" s="29"/>
      <c r="BF891" s="27">
        <v>4.085</v>
      </c>
      <c r="BG891" s="29"/>
    </row>
    <row r="892" spans="1:59" s="27" customFormat="1" ht="20.25" customHeight="1" x14ac:dyDescent="0.45">
      <c r="A892" s="26"/>
      <c r="B892" s="28"/>
      <c r="E892" s="27">
        <v>1</v>
      </c>
      <c r="F892" s="27">
        <v>0.44400000000000001</v>
      </c>
      <c r="G892" s="27">
        <v>4.0129999999999999</v>
      </c>
      <c r="H892" s="27">
        <v>1.234</v>
      </c>
      <c r="I892" s="27">
        <v>8</v>
      </c>
      <c r="J892" s="27">
        <v>16.189</v>
      </c>
      <c r="K892" s="27">
        <v>3.7429999999999999</v>
      </c>
      <c r="L892" s="27">
        <v>9</v>
      </c>
      <c r="T892" s="27">
        <v>1</v>
      </c>
      <c r="U892" s="27">
        <v>0.45700000000000002</v>
      </c>
      <c r="V892" s="27">
        <v>3.9260000000000002</v>
      </c>
      <c r="W892" s="27">
        <v>1.663</v>
      </c>
      <c r="X892" s="27">
        <v>6.6769999999999996</v>
      </c>
      <c r="Y892" s="27">
        <v>-61.113</v>
      </c>
      <c r="Z892" s="27">
        <v>3.875</v>
      </c>
      <c r="AC892" s="27">
        <v>6</v>
      </c>
      <c r="AH892" s="27">
        <v>92.468000000000004</v>
      </c>
      <c r="AI892" s="29"/>
      <c r="AJ892" s="29"/>
      <c r="AL892" s="29"/>
      <c r="AM892" s="29"/>
      <c r="AN892" s="27">
        <v>6</v>
      </c>
      <c r="AO892" s="27">
        <v>80.572000000000003</v>
      </c>
      <c r="AP892" s="29"/>
      <c r="AQ892" s="29"/>
      <c r="AY892" s="27">
        <v>6</v>
      </c>
      <c r="BC892" s="29"/>
      <c r="BE892" s="27">
        <v>175.21199999999999</v>
      </c>
      <c r="BF892" s="29"/>
      <c r="BG892" s="29"/>
    </row>
    <row r="893" spans="1:59" s="27" customFormat="1" ht="20.25" customHeight="1" x14ac:dyDescent="0.45">
      <c r="A893" s="26"/>
      <c r="B893" s="28"/>
      <c r="E893" s="29"/>
      <c r="F893" s="27">
        <v>0</v>
      </c>
      <c r="G893" s="27">
        <v>0</v>
      </c>
      <c r="H893" s="27">
        <v>0</v>
      </c>
      <c r="I893" s="27">
        <v>0</v>
      </c>
      <c r="J893" s="27">
        <v>146.233</v>
      </c>
      <c r="K893" s="27">
        <v>3.5329999999999999</v>
      </c>
      <c r="T893" s="29"/>
      <c r="U893" s="27">
        <v>0</v>
      </c>
      <c r="V893" s="27">
        <v>0</v>
      </c>
      <c r="W893" s="27">
        <v>0</v>
      </c>
      <c r="X893" s="27">
        <v>0</v>
      </c>
      <c r="Y893" s="27">
        <v>170.298</v>
      </c>
      <c r="Z893" s="27">
        <v>0</v>
      </c>
      <c r="AA893" s="29"/>
      <c r="AC893" s="27">
        <v>7</v>
      </c>
      <c r="AD893" s="29"/>
      <c r="AE893" s="27">
        <v>9.48</v>
      </c>
      <c r="AF893" s="27">
        <f>AE894/AE893</f>
        <v>0.39831223628691981</v>
      </c>
      <c r="AM893" s="29"/>
      <c r="AY893" s="27">
        <v>7</v>
      </c>
      <c r="BC893" s="29"/>
      <c r="BE893" s="29"/>
      <c r="BF893" s="27">
        <v>5.9610000000000003</v>
      </c>
      <c r="BG893" s="27">
        <f>BF894/BF893</f>
        <v>0.60442878711625569</v>
      </c>
    </row>
    <row r="894" spans="1:59" s="27" customFormat="1" ht="20.25" customHeight="1" x14ac:dyDescent="0.45">
      <c r="A894" s="26"/>
      <c r="B894" s="28"/>
      <c r="E894" s="29"/>
      <c r="F894" s="27">
        <v>0.41699999999999998</v>
      </c>
      <c r="G894" s="27">
        <v>3.1859999999999999</v>
      </c>
      <c r="H894" s="27">
        <v>1.4</v>
      </c>
      <c r="I894" s="27">
        <v>4.6399999999999997</v>
      </c>
      <c r="J894" s="27">
        <v>23.962</v>
      </c>
      <c r="K894" s="27">
        <v>3.4260000000000002</v>
      </c>
      <c r="N894" s="27" t="s">
        <v>123</v>
      </c>
      <c r="O894" s="27">
        <v>0</v>
      </c>
      <c r="AC894" s="27">
        <v>8</v>
      </c>
      <c r="AD894" s="29"/>
      <c r="AE894" s="27">
        <v>3.7759999999999998</v>
      </c>
      <c r="AF894" s="29"/>
      <c r="AM894" s="29"/>
      <c r="AY894" s="27">
        <v>8</v>
      </c>
      <c r="BC894" s="29"/>
      <c r="BE894" s="29"/>
      <c r="BF894" s="27">
        <v>3.6030000000000002</v>
      </c>
      <c r="BG894" s="29"/>
    </row>
    <row r="895" spans="1:59" s="27" customFormat="1" ht="20.25" customHeight="1" x14ac:dyDescent="0.45">
      <c r="A895" s="26"/>
      <c r="B895" s="28"/>
      <c r="E895" s="29"/>
      <c r="F895" s="27">
        <v>0</v>
      </c>
      <c r="G895" s="27">
        <v>0</v>
      </c>
      <c r="H895" s="27">
        <v>0</v>
      </c>
      <c r="I895" s="27">
        <v>0</v>
      </c>
      <c r="J895" s="27">
        <v>136.042</v>
      </c>
      <c r="K895" s="27">
        <v>0</v>
      </c>
      <c r="L895" s="27">
        <v>10</v>
      </c>
      <c r="T895" s="27">
        <v>1</v>
      </c>
      <c r="U895" s="27">
        <v>0.39</v>
      </c>
      <c r="V895" s="27">
        <v>3.1989999999999998</v>
      </c>
      <c r="W895" s="27">
        <v>1.167</v>
      </c>
      <c r="X895" s="27">
        <v>4.8330000000000002</v>
      </c>
      <c r="Y895" s="27">
        <v>8.1300000000000008</v>
      </c>
      <c r="Z895" s="27">
        <v>3.2919999999999998</v>
      </c>
      <c r="AC895" s="27">
        <v>9</v>
      </c>
      <c r="AD895" s="27">
        <v>49.75</v>
      </c>
      <c r="AE895" s="29"/>
      <c r="AF895" s="29"/>
      <c r="AM895" s="29"/>
      <c r="AY895" s="27">
        <v>9</v>
      </c>
      <c r="BC895" s="29"/>
      <c r="BE895" s="27">
        <v>128.53100000000001</v>
      </c>
      <c r="BF895" s="29"/>
      <c r="BG895" s="29"/>
    </row>
    <row r="896" spans="1:59" s="27" customFormat="1" ht="20.25" customHeight="1" x14ac:dyDescent="0.45">
      <c r="A896" s="26"/>
      <c r="B896" s="28">
        <v>1</v>
      </c>
      <c r="C896" s="27">
        <v>0.44400000000000001</v>
      </c>
      <c r="D896" s="27">
        <v>4.0129999999999999</v>
      </c>
      <c r="E896" s="27">
        <v>1.234</v>
      </c>
      <c r="F896" s="27">
        <v>8</v>
      </c>
      <c r="G896" s="27">
        <v>16.189</v>
      </c>
      <c r="H896" s="27">
        <v>3.7429999999999999</v>
      </c>
      <c r="T896" s="29"/>
      <c r="U896" s="27">
        <v>0</v>
      </c>
      <c r="V896" s="27">
        <v>0</v>
      </c>
      <c r="W896" s="27">
        <v>0</v>
      </c>
      <c r="X896" s="27">
        <v>0</v>
      </c>
      <c r="Y896" s="27">
        <v>95.76</v>
      </c>
      <c r="Z896" s="27">
        <v>3.2919999999999998</v>
      </c>
      <c r="AC896" s="27">
        <v>10</v>
      </c>
      <c r="AH896" s="29"/>
      <c r="AI896" s="27">
        <v>11.776999999999999</v>
      </c>
      <c r="AJ896" s="27">
        <f>AI897/AI896</f>
        <v>0.24675214400951009</v>
      </c>
      <c r="AM896" s="29"/>
      <c r="AX896" s="27" t="s">
        <v>134</v>
      </c>
      <c r="AY896" s="27">
        <v>1</v>
      </c>
      <c r="AZ896" s="29"/>
      <c r="BA896" s="27">
        <v>4.6180000000000003</v>
      </c>
      <c r="BB896" s="27">
        <f>BA897/BA896</f>
        <v>0.78822000866175834</v>
      </c>
      <c r="BC896" s="29"/>
    </row>
    <row r="897" spans="1:72" s="27" customFormat="1" ht="20.25" customHeight="1" x14ac:dyDescent="0.45">
      <c r="A897" s="26"/>
      <c r="B897" s="28"/>
      <c r="C897" s="27">
        <v>0</v>
      </c>
      <c r="D897" s="27">
        <v>0</v>
      </c>
      <c r="E897" s="27">
        <v>0</v>
      </c>
      <c r="F897" s="27">
        <v>0</v>
      </c>
      <c r="G897" s="27">
        <v>146.233</v>
      </c>
      <c r="H897" s="27">
        <v>3.5329999999999999</v>
      </c>
      <c r="N897" s="27" t="s">
        <v>123</v>
      </c>
      <c r="O897" s="27">
        <v>1</v>
      </c>
      <c r="AC897" s="27">
        <v>11</v>
      </c>
      <c r="AH897" s="29"/>
      <c r="AI897" s="27">
        <v>2.9060000000000001</v>
      </c>
      <c r="AJ897" s="29"/>
      <c r="AM897" s="29"/>
      <c r="AY897" s="27">
        <v>2</v>
      </c>
      <c r="AZ897" s="29"/>
      <c r="BA897" s="27">
        <v>3.64</v>
      </c>
      <c r="BB897" s="29"/>
      <c r="BC897" s="29"/>
    </row>
    <row r="898" spans="1:72" s="27" customFormat="1" ht="20.25" customHeight="1" x14ac:dyDescent="0.45">
      <c r="A898" s="26"/>
      <c r="B898" s="28"/>
      <c r="C898" s="27">
        <v>0.41699999999999998</v>
      </c>
      <c r="D898" s="27">
        <v>3.1859999999999999</v>
      </c>
      <c r="E898" s="27">
        <v>1.4</v>
      </c>
      <c r="F898" s="27">
        <v>4.6399999999999997</v>
      </c>
      <c r="G898" s="27">
        <v>23.962</v>
      </c>
      <c r="H898" s="27">
        <v>3.4260000000000002</v>
      </c>
      <c r="AC898" s="27">
        <v>12</v>
      </c>
      <c r="AH898" s="27">
        <v>100.67</v>
      </c>
      <c r="AI898" s="29"/>
      <c r="AJ898" s="29"/>
      <c r="AM898" s="29"/>
      <c r="AY898" s="27">
        <v>3</v>
      </c>
      <c r="AZ898" s="27">
        <v>76.558000000000007</v>
      </c>
      <c r="BA898" s="29"/>
      <c r="BB898" s="29"/>
      <c r="BC898" s="29"/>
    </row>
    <row r="899" spans="1:72" s="27" customFormat="1" ht="20.25" customHeight="1" x14ac:dyDescent="0.45">
      <c r="A899" s="26"/>
      <c r="B899" s="28"/>
      <c r="C899" s="27">
        <v>0</v>
      </c>
      <c r="D899" s="27">
        <v>0</v>
      </c>
      <c r="E899" s="27">
        <v>0</v>
      </c>
      <c r="F899" s="27">
        <v>0</v>
      </c>
      <c r="G899" s="27">
        <v>136.042</v>
      </c>
      <c r="H899" s="27">
        <v>0</v>
      </c>
      <c r="S899" s="27" t="s">
        <v>135</v>
      </c>
    </row>
    <row r="900" spans="1:72" s="27" customFormat="1" ht="20.25" customHeight="1" x14ac:dyDescent="0.45">
      <c r="A900" s="26"/>
      <c r="B900" s="27">
        <v>1</v>
      </c>
      <c r="C900" s="27">
        <v>1.345</v>
      </c>
      <c r="D900" s="27">
        <v>2.88</v>
      </c>
      <c r="E900" s="27">
        <v>1</v>
      </c>
      <c r="F900" s="27">
        <v>5.7009999999999996</v>
      </c>
      <c r="G900" s="27">
        <v>-120.964</v>
      </c>
      <c r="H900" s="27">
        <v>11.496</v>
      </c>
      <c r="AD900" s="27">
        <f>SUM(AD748:AD898)</f>
        <v>641.07999999999993</v>
      </c>
      <c r="AF900" s="27">
        <f>SUM(AF743:AF896)</f>
        <v>6.0787439813571522</v>
      </c>
      <c r="AH900" s="27">
        <f>SUM(AH745:AH898)</f>
        <v>5142.2449999999999</v>
      </c>
      <c r="AJ900" s="27">
        <f>SUM(AJ743:AJ893)</f>
        <v>23.44083940579964</v>
      </c>
      <c r="AO900" s="27">
        <f>SUM(AO745:AO892)</f>
        <v>2191.5259999999998</v>
      </c>
      <c r="AQ900" s="27">
        <f>SUM(AQ743:AQ890)</f>
        <v>14.620999413284579</v>
      </c>
      <c r="AT900" s="27">
        <f>SUM(AT750:AT883)</f>
        <v>2612.7089999999998</v>
      </c>
      <c r="AV900" s="27">
        <f>SUM(AV748:AV881)</f>
        <v>8.4818540550562886</v>
      </c>
      <c r="AZ900" s="27">
        <f>SUM(AZ749:AZ898)</f>
        <v>510.24099999999993</v>
      </c>
      <c r="BB900" s="27">
        <f>BB896+BB884+BB854+BB851+BB845+BB842+BB809+BB794+BB767</f>
        <v>5.7733999589099287</v>
      </c>
      <c r="BE900" s="27">
        <f>SUM(BE745:BE895)</f>
        <v>5887.2999999999984</v>
      </c>
      <c r="BG900" s="27">
        <f>SUM(BG743:BG893)</f>
        <v>24.987746284028706</v>
      </c>
      <c r="BL900" s="27">
        <f>SUM(BL745:BL853)</f>
        <v>1573.0539999999999</v>
      </c>
      <c r="BN900" s="27">
        <f>BN851+BN842+BN836+BN833+BN830+BN827+BN824+BN821+BN815+BN812+BN809+BN805+BN803+BN806+BN800+BN797+BN794+BN782+BN776+BN767+BN764+BN761+BN746+BN743</f>
        <v>10.444697905030676</v>
      </c>
      <c r="BR900" s="27">
        <f>SUM(BR747:BR850)</f>
        <v>2033.76</v>
      </c>
      <c r="BT900" s="27">
        <f>BT848+BT845+BT839+BT818+BT791+BT788+BT785+BT779+BT773+BT770+BT758+BT755+BT752+BT749</f>
        <v>7.4983847699706931</v>
      </c>
    </row>
    <row r="901" spans="1:72" s="27" customFormat="1" ht="20.25" customHeight="1" x14ac:dyDescent="0.45">
      <c r="A901" s="26"/>
      <c r="B901" s="29"/>
      <c r="C901" s="27">
        <v>0</v>
      </c>
      <c r="D901" s="27">
        <v>0</v>
      </c>
      <c r="E901" s="27">
        <v>0</v>
      </c>
      <c r="F901" s="27">
        <v>0</v>
      </c>
      <c r="G901" s="27">
        <v>81.228999999999999</v>
      </c>
      <c r="H901" s="27">
        <v>0</v>
      </c>
      <c r="AD901" s="27">
        <f>AD900/11</f>
        <v>58.279999999999994</v>
      </c>
      <c r="AF901" s="27">
        <f>AF900/11</f>
        <v>0.55261308921428653</v>
      </c>
      <c r="AH901" s="27">
        <f>((AH900-(90*41))/41)</f>
        <v>35.420609756097555</v>
      </c>
      <c r="AJ901" s="27">
        <f>AJ900/41</f>
        <v>0.57172779038535704</v>
      </c>
      <c r="AO901" s="27">
        <f>AO900/33</f>
        <v>66.409878787878782</v>
      </c>
      <c r="AQ901" s="27">
        <f>AQ900/33</f>
        <v>0.44306058828135086</v>
      </c>
      <c r="AT901" s="27">
        <f>(AT900-(90*17))/17</f>
        <v>63.688764705882342</v>
      </c>
      <c r="AV901" s="27">
        <f>AV900/17</f>
        <v>0.49893259147389935</v>
      </c>
      <c r="AZ901" s="27">
        <f>AZ900/9</f>
        <v>56.693444444444438</v>
      </c>
      <c r="BB901" s="27">
        <f>BB900/9</f>
        <v>0.6414888843233254</v>
      </c>
      <c r="BE901" s="27">
        <f>(BE900-(90*43))/43</f>
        <v>46.913953488372051</v>
      </c>
      <c r="BG901" s="27">
        <f>BG900/43</f>
        <v>0.58111037869834203</v>
      </c>
      <c r="BL901" s="27">
        <f>BL900/23</f>
        <v>68.39365217391304</v>
      </c>
      <c r="BN901" s="27">
        <f>BN900/23</f>
        <v>0.45411730021872504</v>
      </c>
      <c r="BR901" s="27">
        <f>(BR900-(90*14))/14</f>
        <v>55.268571428571427</v>
      </c>
      <c r="BT901" s="27">
        <f>BT900/14</f>
        <v>0.53559891214076383</v>
      </c>
    </row>
    <row r="902" spans="1:72" s="27" customFormat="1" ht="20.25" customHeight="1" x14ac:dyDescent="0.45">
      <c r="A902" s="26"/>
      <c r="C902" s="27" t="s">
        <v>126</v>
      </c>
      <c r="D902" s="27">
        <v>0</v>
      </c>
    </row>
    <row r="903" spans="1:72" s="27" customFormat="1" ht="20.25" customHeight="1" x14ac:dyDescent="0.45">
      <c r="A903" s="26">
        <v>7</v>
      </c>
      <c r="B903" s="28">
        <v>1</v>
      </c>
      <c r="C903" s="27">
        <v>0.51100000000000001</v>
      </c>
      <c r="D903" s="27">
        <v>6.2210000000000001</v>
      </c>
      <c r="E903" s="27">
        <v>2.3780000000000001</v>
      </c>
      <c r="F903" s="27">
        <v>12.27</v>
      </c>
      <c r="G903" s="27">
        <v>93.093999999999994</v>
      </c>
      <c r="H903" s="27">
        <v>4.2969999999999997</v>
      </c>
    </row>
    <row r="904" spans="1:72" s="27" customFormat="1" ht="20.25" customHeight="1" x14ac:dyDescent="0.45">
      <c r="A904" s="26"/>
      <c r="B904" s="28"/>
      <c r="C904" s="27">
        <v>0</v>
      </c>
      <c r="D904" s="27">
        <v>0</v>
      </c>
      <c r="E904" s="27">
        <v>0</v>
      </c>
      <c r="F904" s="27">
        <v>0</v>
      </c>
      <c r="G904" s="27">
        <v>113.354</v>
      </c>
      <c r="H904" s="27">
        <v>0</v>
      </c>
    </row>
    <row r="905" spans="1:72" s="27" customFormat="1" ht="20.25" customHeight="1" x14ac:dyDescent="0.45">
      <c r="A905" s="26"/>
      <c r="B905" s="28">
        <v>1</v>
      </c>
      <c r="C905" s="27">
        <v>0.32300000000000001</v>
      </c>
      <c r="D905" s="27">
        <v>3.415</v>
      </c>
      <c r="E905" s="27">
        <v>1</v>
      </c>
      <c r="F905" s="27">
        <v>6.8959999999999999</v>
      </c>
      <c r="G905" s="27">
        <v>64.537000000000006</v>
      </c>
      <c r="H905" s="27">
        <v>2.6970000000000001</v>
      </c>
    </row>
    <row r="906" spans="1:72" s="27" customFormat="1" ht="20.25" customHeight="1" x14ac:dyDescent="0.45">
      <c r="A906" s="26"/>
      <c r="B906" s="28"/>
      <c r="C906" s="27">
        <v>0</v>
      </c>
      <c r="D906" s="27">
        <v>0</v>
      </c>
      <c r="E906" s="27">
        <v>0</v>
      </c>
      <c r="F906" s="27">
        <v>0</v>
      </c>
      <c r="G906" s="27">
        <v>157.55600000000001</v>
      </c>
      <c r="H906" s="27">
        <v>2.6970000000000001</v>
      </c>
    </row>
    <row r="907" spans="1:72" s="27" customFormat="1" ht="20.25" customHeight="1" x14ac:dyDescent="0.45">
      <c r="A907" s="26"/>
      <c r="B907" s="28">
        <v>1</v>
      </c>
      <c r="C907" s="27">
        <v>0.39</v>
      </c>
      <c r="D907" s="27">
        <v>86.344999999999999</v>
      </c>
      <c r="E907" s="27">
        <v>8</v>
      </c>
      <c r="F907" s="27">
        <v>171</v>
      </c>
      <c r="G907" s="27">
        <v>-90</v>
      </c>
      <c r="H907" s="27">
        <v>3.2469999999999999</v>
      </c>
    </row>
    <row r="908" spans="1:72" s="27" customFormat="1" ht="20.25" customHeight="1" x14ac:dyDescent="0.45">
      <c r="A908" s="26"/>
      <c r="B908" s="28"/>
      <c r="C908" s="27">
        <v>0</v>
      </c>
      <c r="D908" s="27">
        <v>0</v>
      </c>
      <c r="E908" s="27">
        <v>0</v>
      </c>
      <c r="F908" s="27">
        <v>0</v>
      </c>
      <c r="G908" s="27">
        <v>174.75200000000001</v>
      </c>
      <c r="H908" s="27">
        <v>0</v>
      </c>
    </row>
    <row r="909" spans="1:72" s="27" customFormat="1" ht="20.25" customHeight="1" x14ac:dyDescent="0.45">
      <c r="A909" s="26"/>
      <c r="B909" s="28"/>
      <c r="C909" s="27" t="s">
        <v>126</v>
      </c>
      <c r="D909" s="27">
        <v>1</v>
      </c>
    </row>
    <row r="910" spans="1:72" s="27" customFormat="1" ht="20.25" customHeight="1" x14ac:dyDescent="0.45">
      <c r="A910" s="26">
        <v>8</v>
      </c>
      <c r="B910" s="28">
        <v>1</v>
      </c>
      <c r="C910" s="27">
        <v>0.498</v>
      </c>
      <c r="D910" s="27">
        <v>3.2229999999999999</v>
      </c>
      <c r="E910" s="27">
        <v>2.222</v>
      </c>
      <c r="F910" s="27">
        <v>5</v>
      </c>
      <c r="G910" s="27">
        <v>78.69</v>
      </c>
      <c r="H910" s="27">
        <v>4.1390000000000002</v>
      </c>
    </row>
    <row r="911" spans="1:72" s="27" customFormat="1" ht="20.25" customHeight="1" x14ac:dyDescent="0.45">
      <c r="A911" s="26"/>
      <c r="B911" s="28"/>
      <c r="C911" s="27">
        <v>0</v>
      </c>
      <c r="D911" s="27">
        <v>0</v>
      </c>
      <c r="E911" s="27">
        <v>0</v>
      </c>
      <c r="F911" s="27">
        <v>0</v>
      </c>
      <c r="G911" s="27">
        <v>93.262</v>
      </c>
      <c r="H911" s="27">
        <v>0</v>
      </c>
    </row>
    <row r="912" spans="1:72" s="27" customFormat="1" ht="20.25" customHeight="1" x14ac:dyDescent="0.45">
      <c r="A912" s="26"/>
      <c r="B912" s="28"/>
      <c r="C912" s="27">
        <v>0.45700000000000002</v>
      </c>
      <c r="D912" s="27">
        <v>2.7229999999999999</v>
      </c>
      <c r="E912" s="27">
        <v>1.347</v>
      </c>
      <c r="F912" s="27">
        <v>5.5069999999999997</v>
      </c>
      <c r="G912" s="27">
        <v>-15.709</v>
      </c>
      <c r="H912" s="27">
        <v>3.855</v>
      </c>
    </row>
    <row r="913" spans="1:22" s="27" customFormat="1" ht="20.25" customHeight="1" x14ac:dyDescent="0.45">
      <c r="A913" s="26"/>
      <c r="B913" s="28"/>
      <c r="C913" s="27">
        <v>0</v>
      </c>
      <c r="D913" s="27">
        <v>0</v>
      </c>
      <c r="E913" s="27">
        <v>0</v>
      </c>
      <c r="F913" s="27">
        <v>0</v>
      </c>
      <c r="G913" s="27">
        <v>158.72399999999999</v>
      </c>
      <c r="H913" s="27">
        <v>0</v>
      </c>
    </row>
    <row r="914" spans="1:22" s="27" customFormat="1" ht="20.25" customHeight="1" x14ac:dyDescent="0.45">
      <c r="A914" s="26"/>
      <c r="B914" s="28">
        <v>1</v>
      </c>
      <c r="C914" s="27">
        <v>0.29599999999999999</v>
      </c>
      <c r="D914" s="27">
        <v>3.2639999999999998</v>
      </c>
      <c r="E914" s="27">
        <v>2</v>
      </c>
      <c r="F914" s="27">
        <v>4.7619999999999996</v>
      </c>
      <c r="G914" s="27">
        <v>-95.44</v>
      </c>
      <c r="H914" s="27">
        <v>2.4460000000000002</v>
      </c>
    </row>
    <row r="915" spans="1:22" s="27" customFormat="1" ht="20.25" customHeight="1" x14ac:dyDescent="0.45">
      <c r="A915" s="26"/>
      <c r="B915" s="28"/>
      <c r="C915" s="27">
        <v>0</v>
      </c>
      <c r="D915" s="27">
        <v>0</v>
      </c>
      <c r="E915" s="27">
        <v>0</v>
      </c>
      <c r="F915" s="27">
        <v>0</v>
      </c>
      <c r="G915" s="27">
        <v>15.03</v>
      </c>
      <c r="H915" s="27">
        <v>2.4460000000000002</v>
      </c>
    </row>
    <row r="916" spans="1:22" s="27" customFormat="1" ht="20.25" customHeight="1" x14ac:dyDescent="0.45">
      <c r="A916" s="26"/>
      <c r="B916" s="28"/>
      <c r="E916" s="27">
        <v>1</v>
      </c>
      <c r="F916" s="27">
        <v>0.24199999999999999</v>
      </c>
      <c r="G916" s="27">
        <v>3.734</v>
      </c>
      <c r="H916" s="27">
        <v>2.6850000000000001</v>
      </c>
      <c r="I916" s="27">
        <v>5.3040000000000003</v>
      </c>
      <c r="J916" s="27">
        <v>17.353999999999999</v>
      </c>
      <c r="K916" s="27">
        <v>1.944</v>
      </c>
    </row>
    <row r="917" spans="1:22" s="27" customFormat="1" ht="20.25" customHeight="1" x14ac:dyDescent="0.45">
      <c r="A917" s="26"/>
      <c r="B917" s="28"/>
      <c r="E917" s="29"/>
      <c r="F917" s="27">
        <v>0</v>
      </c>
      <c r="G917" s="27">
        <v>0</v>
      </c>
      <c r="H917" s="27">
        <v>0</v>
      </c>
      <c r="I917" s="27">
        <v>0</v>
      </c>
      <c r="J917" s="27">
        <v>163.77199999999999</v>
      </c>
      <c r="K917" s="27">
        <v>2.4460000000000002</v>
      </c>
    </row>
    <row r="918" spans="1:22" s="27" customFormat="1" ht="20.25" customHeight="1" x14ac:dyDescent="0.45">
      <c r="A918" s="26"/>
      <c r="B918" s="28">
        <v>1</v>
      </c>
      <c r="C918" s="27">
        <v>0.25600000000000001</v>
      </c>
      <c r="D918" s="27">
        <v>8.5500000000000007</v>
      </c>
      <c r="E918" s="27">
        <v>7</v>
      </c>
      <c r="F918" s="27">
        <v>11</v>
      </c>
      <c r="G918" s="27">
        <v>-86.82</v>
      </c>
      <c r="H918" s="27">
        <v>2.0910000000000002</v>
      </c>
    </row>
    <row r="919" spans="1:22" s="27" customFormat="1" ht="20.25" customHeight="1" x14ac:dyDescent="0.45">
      <c r="A919" s="26"/>
      <c r="B919" s="28"/>
      <c r="C919" s="27">
        <v>0</v>
      </c>
      <c r="D919" s="27">
        <v>0</v>
      </c>
      <c r="E919" s="27">
        <v>0</v>
      </c>
      <c r="F919" s="27">
        <v>0</v>
      </c>
      <c r="G919" s="27">
        <v>86.869</v>
      </c>
      <c r="H919" s="27">
        <v>2.0910000000000002</v>
      </c>
    </row>
    <row r="920" spans="1:22" s="27" customFormat="1" ht="20.25" customHeight="1" x14ac:dyDescent="0.45">
      <c r="A920" s="26"/>
      <c r="B920" s="28"/>
      <c r="C920" s="27" t="s">
        <v>126</v>
      </c>
      <c r="D920" s="27">
        <v>0</v>
      </c>
    </row>
    <row r="921" spans="1:22" s="27" customFormat="1" ht="20.25" customHeight="1" x14ac:dyDescent="0.45">
      <c r="A921" s="26">
        <v>9</v>
      </c>
      <c r="B921" s="28">
        <v>1</v>
      </c>
      <c r="C921" s="27">
        <v>0.26900000000000002</v>
      </c>
      <c r="D921" s="27">
        <v>5.6870000000000003</v>
      </c>
      <c r="E921" s="27">
        <v>4</v>
      </c>
      <c r="F921" s="27">
        <v>7.8949999999999996</v>
      </c>
      <c r="G921" s="27">
        <v>96.009</v>
      </c>
      <c r="H921" s="27">
        <v>2.2160000000000002</v>
      </c>
    </row>
    <row r="922" spans="1:22" s="27" customFormat="1" ht="20.25" customHeight="1" x14ac:dyDescent="0.45">
      <c r="A922" s="26"/>
      <c r="B922" s="28"/>
      <c r="C922" s="27">
        <v>0</v>
      </c>
      <c r="D922" s="27">
        <v>0</v>
      </c>
      <c r="E922" s="27">
        <v>0</v>
      </c>
      <c r="F922" s="27">
        <v>0</v>
      </c>
      <c r="G922" s="27">
        <v>114.944</v>
      </c>
      <c r="H922" s="27">
        <v>2.2160000000000002</v>
      </c>
    </row>
    <row r="923" spans="1:22" s="27" customFormat="1" ht="20.25" customHeight="1" x14ac:dyDescent="0.45">
      <c r="A923" s="26"/>
      <c r="B923" s="28"/>
      <c r="C923" s="27" t="s">
        <v>126</v>
      </c>
      <c r="D923" s="27">
        <v>1</v>
      </c>
    </row>
    <row r="924" spans="1:22" s="27" customFormat="1" ht="20.25" customHeight="1" x14ac:dyDescent="0.45">
      <c r="A924" s="26">
        <v>10</v>
      </c>
      <c r="B924" s="28"/>
      <c r="E924" s="27">
        <v>1</v>
      </c>
      <c r="F924" s="27">
        <v>0.377</v>
      </c>
      <c r="G924" s="27">
        <v>3.7890000000000001</v>
      </c>
      <c r="H924" s="27">
        <v>2.8149999999999999</v>
      </c>
      <c r="I924" s="27">
        <v>5.37</v>
      </c>
      <c r="J924" s="27">
        <v>-21.800999999999998</v>
      </c>
      <c r="K924" s="27">
        <v>3.1230000000000002</v>
      </c>
    </row>
    <row r="925" spans="1:22" s="27" customFormat="1" ht="20.25" customHeight="1" x14ac:dyDescent="0.45">
      <c r="A925" s="26"/>
      <c r="B925" s="28"/>
      <c r="E925" s="29"/>
      <c r="F925" s="27">
        <v>0</v>
      </c>
      <c r="G925" s="27">
        <v>0</v>
      </c>
      <c r="H925" s="27">
        <v>0</v>
      </c>
      <c r="I925" s="27">
        <v>0</v>
      </c>
      <c r="J925" s="27">
        <v>168.69</v>
      </c>
      <c r="K925" s="27">
        <v>3.1230000000000002</v>
      </c>
    </row>
    <row r="926" spans="1:22" s="27" customFormat="1" ht="20.25" customHeight="1" x14ac:dyDescent="0.45">
      <c r="A926" s="26"/>
      <c r="B926" s="28"/>
      <c r="C926" s="27" t="s">
        <v>126</v>
      </c>
      <c r="D926" s="27">
        <v>0</v>
      </c>
    </row>
    <row r="927" spans="1:22" s="27" customFormat="1" ht="20.25" customHeight="1" x14ac:dyDescent="0.45">
      <c r="A927" s="26"/>
      <c r="B927" s="28"/>
    </row>
    <row r="928" spans="1:22" s="27" customFormat="1" ht="20.25" customHeight="1" x14ac:dyDescent="0.45">
      <c r="A928" s="26"/>
      <c r="B928" s="28"/>
      <c r="U928" s="27">
        <f>Z895+Z892+Z889+Z887+Z885+Z883+Z881+Z879+S877+S875+S873+S871+S856+S854+S852+Z864+Z862+Z858+Z849</f>
        <v>78.244</v>
      </c>
      <c r="V928" s="27">
        <f>Y896+Y893+Y890+Y888+Y886+Y884+Y882+Y880+R878+R876+R874+R872+R868+Y865+Y863+Y859+R857+R855+R853+Y850</f>
        <v>2589.0829999999996</v>
      </c>
    </row>
    <row r="929" spans="1:26" s="27" customFormat="1" ht="20.25" customHeight="1" x14ac:dyDescent="0.45">
      <c r="A929" s="26"/>
      <c r="B929" s="28"/>
      <c r="G929" s="27">
        <f>H921+K924+K916+H914+H910+H912+H907+H905+H903+H900+H898+H896+K894+K892+K890+H887+H885+H883+K881+H878+H876+H874+H872+H870+H868+H865+H863+K860+K858+H855+H853+H851+H849</f>
        <v>125.44300000000004</v>
      </c>
      <c r="H929" s="27">
        <f>J925+G922+G919+J917+G915+G913+G911+G908+G906+G904+G901+G899+G897+J895+J893+J891+G888+G886+G884+J882+G879+G877+G875+G873+G871+G869+G866+G864+J861+J859+G856+G854+G852+G850</f>
        <v>4331.1499999999996</v>
      </c>
      <c r="Q929" s="27" t="s">
        <v>136</v>
      </c>
      <c r="R929" s="27" t="s">
        <v>137</v>
      </c>
      <c r="S929" s="29"/>
      <c r="T929" s="27" t="s">
        <v>120</v>
      </c>
      <c r="U929" s="27" t="s">
        <v>138</v>
      </c>
      <c r="V929" s="27" t="s">
        <v>97</v>
      </c>
    </row>
    <row r="930" spans="1:26" s="27" customFormat="1" ht="20.25" customHeight="1" x14ac:dyDescent="0.45">
      <c r="A930" s="26"/>
      <c r="B930" s="28"/>
      <c r="C930" s="27" t="s">
        <v>136</v>
      </c>
      <c r="D930" s="27" t="s">
        <v>137</v>
      </c>
      <c r="E930" s="29"/>
      <c r="F930" s="27" t="s">
        <v>120</v>
      </c>
      <c r="G930" s="27" t="s">
        <v>138</v>
      </c>
      <c r="H930" s="27" t="s">
        <v>97</v>
      </c>
      <c r="Q930" s="27">
        <f>O897+O894+O891+T895+T892+T889+T885+T879+M877+M871+O870+O869+O866+M867+O861+O860+T864+T862+T858+M856+M854+M852+T849</f>
        <v>23</v>
      </c>
      <c r="R930" s="27">
        <v>20</v>
      </c>
      <c r="S930" s="27" t="s">
        <v>102</v>
      </c>
      <c r="T930" s="27">
        <f>R930/Q930</f>
        <v>0.86956521739130432</v>
      </c>
      <c r="U930" s="27">
        <f>U928/R930</f>
        <v>3.9121999999999999</v>
      </c>
      <c r="V930" s="27">
        <f>V928/R930</f>
        <v>129.45414999999997</v>
      </c>
    </row>
    <row r="931" spans="1:26" s="27" customFormat="1" ht="20.25" customHeight="1" x14ac:dyDescent="0.45">
      <c r="A931" s="26"/>
      <c r="B931" s="28"/>
      <c r="C931" s="27">
        <f>D926+E924+D923+B921+B918+B914+B910+B903+B900+B896+B887+B883+E892+E890+E881+E858+B863+B868+D867+D857+D862+D889+D902+D909+B851+B849+E916+D920+D880</f>
        <v>36</v>
      </c>
      <c r="D931" s="27">
        <v>34</v>
      </c>
      <c r="E931" s="27" t="s">
        <v>102</v>
      </c>
      <c r="F931" s="27">
        <f>D931/C931</f>
        <v>0.94444444444444442</v>
      </c>
      <c r="G931" s="27">
        <f>G929/D931</f>
        <v>3.6895000000000011</v>
      </c>
      <c r="H931" s="27">
        <f>H929/D931</f>
        <v>127.38676470588234</v>
      </c>
      <c r="S931" s="27" t="s">
        <v>78</v>
      </c>
      <c r="T931" s="27">
        <v>8</v>
      </c>
      <c r="U931" s="27">
        <f>(S877+S875+S873+S871+S867+S856+S854+S852)/T931</f>
        <v>3.9680000000000009</v>
      </c>
      <c r="V931" s="27">
        <f>(R878+R876+R874+R872+R868+R857+R855+R853)/T931</f>
        <v>140.23225000000002</v>
      </c>
    </row>
    <row r="932" spans="1:26" s="27" customFormat="1" ht="20.25" customHeight="1" x14ac:dyDescent="0.45">
      <c r="A932" s="26"/>
      <c r="B932" s="28"/>
      <c r="E932" s="27" t="s">
        <v>78</v>
      </c>
      <c r="F932" s="27">
        <v>26</v>
      </c>
      <c r="G932" s="27">
        <f>(H921+H918+H914+H912+H910+H907+H905+H903+H900+H898+H896+H887+H885+H883+H878+H876+H874+H872+H870+H868+H865+H863+H855+H853+H851+H849)/F932</f>
        <v>3.6452692307692312</v>
      </c>
      <c r="H932" s="27">
        <f>(G922+G919+G915+G913+G911+G908+G906+G904+G901+G899+G897+G888+G886+G884+G879+G877+G875+G873+G871+G869+G866+G864+G856+G854+G852+G850)/26</f>
        <v>130.53853846153845</v>
      </c>
      <c r="S932" s="27" t="s">
        <v>69</v>
      </c>
      <c r="T932" s="27">
        <v>12</v>
      </c>
      <c r="U932" s="27">
        <f>(Z895+Z892+Z889+Z887+Z885+Z883+Z881+Z879+Z864+Z862+Z858+Z849)/T932</f>
        <v>4.2074999999999996</v>
      </c>
      <c r="V932" s="27">
        <f>(Y896+Y893+Y890+Y888+Y886+Y884+Y882+Y880+Y865+Y863+Y859+Y850)/T932</f>
        <v>122.26875</v>
      </c>
    </row>
    <row r="933" spans="1:26" s="27" customFormat="1" ht="20.25" customHeight="1" x14ac:dyDescent="0.45">
      <c r="A933" s="26"/>
      <c r="B933" s="28"/>
      <c r="E933" s="27" t="s">
        <v>69</v>
      </c>
      <c r="F933" s="27">
        <v>8</v>
      </c>
      <c r="G933" s="27">
        <f>(K924+K916+K894+K892+K890+K881+K860+K858)/F933</f>
        <v>4.0946250000000006</v>
      </c>
      <c r="H933" s="27">
        <f>(J925+J917+J895+J893+J891+J882+J861+J859)/F933</f>
        <v>117.1435</v>
      </c>
    </row>
    <row r="934" spans="1:26" s="27" customFormat="1" ht="20.25" customHeight="1" x14ac:dyDescent="0.45">
      <c r="A934" s="26">
        <v>1</v>
      </c>
      <c r="E934" s="28">
        <v>1</v>
      </c>
      <c r="F934" s="27">
        <v>0.27400000000000002</v>
      </c>
      <c r="G934" s="27">
        <v>12.14</v>
      </c>
      <c r="H934" s="27">
        <v>7</v>
      </c>
      <c r="I934" s="27">
        <v>19.63</v>
      </c>
      <c r="J934" s="27">
        <v>38.156999999999996</v>
      </c>
      <c r="K934" s="27">
        <v>2.1389999999999998</v>
      </c>
      <c r="L934" s="27">
        <v>1</v>
      </c>
      <c r="T934" s="27">
        <v>1</v>
      </c>
      <c r="U934" s="27">
        <v>0.56299999999999994</v>
      </c>
      <c r="V934" s="27">
        <v>3.399</v>
      </c>
      <c r="W934" s="27">
        <v>1</v>
      </c>
      <c r="X934" s="27">
        <v>10.895</v>
      </c>
      <c r="Y934" s="27">
        <v>77.8</v>
      </c>
      <c r="Z934" s="27">
        <v>4.5869999999999997</v>
      </c>
    </row>
    <row r="935" spans="1:26" s="27" customFormat="1" ht="20.25" customHeight="1" x14ac:dyDescent="0.45">
      <c r="A935" s="26"/>
      <c r="E935" s="28"/>
      <c r="F935" s="27">
        <v>0</v>
      </c>
      <c r="G935" s="27">
        <v>0</v>
      </c>
      <c r="H935" s="27">
        <v>0</v>
      </c>
      <c r="I935" s="27">
        <v>0</v>
      </c>
      <c r="J935" s="27">
        <v>101.188</v>
      </c>
      <c r="K935" s="27">
        <v>0</v>
      </c>
      <c r="T935" s="29"/>
      <c r="U935" s="27">
        <v>0</v>
      </c>
      <c r="V935" s="27">
        <v>0</v>
      </c>
      <c r="W935" s="27">
        <v>0</v>
      </c>
      <c r="X935" s="27">
        <v>0</v>
      </c>
      <c r="Y935" s="27">
        <v>167.45500000000001</v>
      </c>
      <c r="Z935" s="27">
        <v>4.5869999999999997</v>
      </c>
    </row>
    <row r="936" spans="1:26" s="27" customFormat="1" ht="20.25" customHeight="1" x14ac:dyDescent="0.45">
      <c r="A936" s="26"/>
      <c r="B936" s="28">
        <v>1</v>
      </c>
      <c r="C936" s="27">
        <v>0.57699999999999996</v>
      </c>
      <c r="D936" s="27">
        <v>12.555</v>
      </c>
      <c r="E936" s="27">
        <v>7</v>
      </c>
      <c r="F936" s="27">
        <v>19.332999999999998</v>
      </c>
      <c r="G936" s="27">
        <v>-113.962</v>
      </c>
      <c r="H936" s="27">
        <v>4.7329999999999997</v>
      </c>
      <c r="T936" s="27">
        <v>1</v>
      </c>
      <c r="U936" s="27">
        <v>0.53400000000000003</v>
      </c>
      <c r="V936" s="27">
        <v>23.887</v>
      </c>
      <c r="W936" s="27">
        <v>5</v>
      </c>
      <c r="X936" s="27">
        <v>44.167000000000002</v>
      </c>
      <c r="Y936" s="27">
        <v>59.859000000000002</v>
      </c>
      <c r="Z936" s="27">
        <v>4.3070000000000004</v>
      </c>
    </row>
    <row r="937" spans="1:26" s="27" customFormat="1" ht="20.25" customHeight="1" x14ac:dyDescent="0.45">
      <c r="A937" s="26"/>
      <c r="B937" s="28"/>
      <c r="C937" s="27">
        <v>0</v>
      </c>
      <c r="D937" s="27">
        <v>0</v>
      </c>
      <c r="E937" s="27">
        <v>0</v>
      </c>
      <c r="F937" s="27">
        <v>0</v>
      </c>
      <c r="G937" s="27">
        <v>100.401</v>
      </c>
      <c r="H937" s="27">
        <v>4.7329999999999997</v>
      </c>
      <c r="T937" s="29"/>
      <c r="U937" s="27">
        <v>0</v>
      </c>
      <c r="V937" s="27">
        <v>0</v>
      </c>
      <c r="W937" s="27">
        <v>0</v>
      </c>
      <c r="X937" s="27">
        <v>0</v>
      </c>
      <c r="Y937" s="27">
        <v>162.40799999999999</v>
      </c>
      <c r="Z937" s="27">
        <v>0</v>
      </c>
    </row>
    <row r="938" spans="1:26" s="27" customFormat="1" ht="20.25" customHeight="1" x14ac:dyDescent="0.45">
      <c r="A938" s="26"/>
      <c r="B938" s="28"/>
      <c r="C938" s="27">
        <v>0.36099999999999999</v>
      </c>
      <c r="D938" s="27">
        <v>10.324999999999999</v>
      </c>
      <c r="E938" s="27">
        <v>8.375</v>
      </c>
      <c r="F938" s="27">
        <v>15</v>
      </c>
      <c r="G938" s="27">
        <v>-143.61600000000001</v>
      </c>
      <c r="H938" s="27">
        <v>2.835</v>
      </c>
      <c r="T938" s="27">
        <v>1</v>
      </c>
      <c r="U938" s="27">
        <v>0.40400000000000003</v>
      </c>
      <c r="V938" s="27">
        <v>4.2069999999999999</v>
      </c>
      <c r="W938" s="27">
        <v>1.3740000000000001</v>
      </c>
      <c r="X938" s="27">
        <v>10.605</v>
      </c>
      <c r="Y938" s="27">
        <v>-56.889000000000003</v>
      </c>
      <c r="Z938" s="27">
        <v>3.2989999999999999</v>
      </c>
    </row>
    <row r="939" spans="1:26" s="27" customFormat="1" ht="20.25" customHeight="1" x14ac:dyDescent="0.45">
      <c r="A939" s="26"/>
      <c r="B939" s="28"/>
      <c r="C939" s="27">
        <v>0</v>
      </c>
      <c r="D939" s="27">
        <v>0</v>
      </c>
      <c r="E939" s="27">
        <v>0</v>
      </c>
      <c r="F939" s="27">
        <v>0</v>
      </c>
      <c r="G939" s="27">
        <v>69.165999999999997</v>
      </c>
      <c r="H939" s="27">
        <v>0</v>
      </c>
      <c r="T939" s="29"/>
      <c r="U939" s="27">
        <v>0</v>
      </c>
      <c r="V939" s="27">
        <v>0</v>
      </c>
      <c r="W939" s="27">
        <v>0</v>
      </c>
      <c r="X939" s="27">
        <v>0</v>
      </c>
      <c r="Y939" s="27">
        <v>114.044</v>
      </c>
      <c r="Z939" s="27">
        <v>0</v>
      </c>
    </row>
    <row r="940" spans="1:26" s="27" customFormat="1" ht="20.25" customHeight="1" x14ac:dyDescent="0.45">
      <c r="A940" s="26"/>
      <c r="B940" s="28"/>
      <c r="C940" s="27">
        <v>0.53400000000000003</v>
      </c>
      <c r="D940" s="27">
        <v>12.377000000000001</v>
      </c>
      <c r="E940" s="27">
        <v>8.3949999999999996</v>
      </c>
      <c r="F940" s="27">
        <v>17.443999999999999</v>
      </c>
      <c r="G940" s="27">
        <v>-153.435</v>
      </c>
      <c r="H940" s="27">
        <v>4.298</v>
      </c>
      <c r="T940" s="29"/>
      <c r="U940" s="27">
        <v>0.52</v>
      </c>
      <c r="V940" s="27">
        <v>3.3039999999999998</v>
      </c>
      <c r="W940" s="27">
        <v>1.786</v>
      </c>
      <c r="X940" s="27">
        <v>5.3330000000000002</v>
      </c>
      <c r="Y940" s="27">
        <v>173.29</v>
      </c>
      <c r="Z940" s="27">
        <v>4.1920000000000002</v>
      </c>
    </row>
    <row r="941" spans="1:26" s="27" customFormat="1" ht="20.25" customHeight="1" x14ac:dyDescent="0.45">
      <c r="A941" s="26"/>
      <c r="B941" s="28"/>
      <c r="C941" s="27">
        <v>0</v>
      </c>
      <c r="D941" s="27">
        <v>0</v>
      </c>
      <c r="E941" s="27">
        <v>0</v>
      </c>
      <c r="F941" s="27">
        <v>0</v>
      </c>
      <c r="G941" s="27">
        <v>74.081999999999994</v>
      </c>
      <c r="H941" s="27">
        <v>0</v>
      </c>
      <c r="T941" s="29"/>
      <c r="U941" s="27">
        <v>0</v>
      </c>
      <c r="V941" s="27">
        <v>0</v>
      </c>
      <c r="W941" s="27">
        <v>0</v>
      </c>
      <c r="X941" s="27">
        <v>0</v>
      </c>
      <c r="Y941" s="27">
        <v>102.907</v>
      </c>
      <c r="Z941" s="27">
        <v>0</v>
      </c>
    </row>
    <row r="942" spans="1:26" s="27" customFormat="1" ht="20.25" customHeight="1" x14ac:dyDescent="0.45">
      <c r="A942" s="26"/>
      <c r="B942" s="28"/>
      <c r="E942" s="27">
        <v>1</v>
      </c>
      <c r="F942" s="27">
        <v>0.76500000000000001</v>
      </c>
      <c r="G942" s="27">
        <v>9.6959999999999997</v>
      </c>
      <c r="H942" s="27">
        <v>4.1660000000000004</v>
      </c>
      <c r="I942" s="27">
        <v>15</v>
      </c>
      <c r="J942" s="27">
        <v>-22.62</v>
      </c>
      <c r="K942" s="27">
        <v>6.2469999999999999</v>
      </c>
      <c r="T942" s="27">
        <v>1</v>
      </c>
      <c r="U942" s="27">
        <v>0.505</v>
      </c>
      <c r="V942" s="27">
        <v>3.5630000000000002</v>
      </c>
      <c r="W942" s="27">
        <v>1</v>
      </c>
      <c r="X942" s="27">
        <v>6.3230000000000004</v>
      </c>
      <c r="Y942" s="27">
        <v>-74.745000000000005</v>
      </c>
      <c r="Z942" s="27">
        <v>4.109</v>
      </c>
    </row>
    <row r="943" spans="1:26" s="27" customFormat="1" ht="20.25" customHeight="1" x14ac:dyDescent="0.45">
      <c r="A943" s="26"/>
      <c r="B943" s="28"/>
      <c r="E943" s="29"/>
      <c r="F943" s="27">
        <v>0</v>
      </c>
      <c r="G943" s="27">
        <v>0</v>
      </c>
      <c r="H943" s="27">
        <v>0</v>
      </c>
      <c r="I943" s="27">
        <v>0</v>
      </c>
      <c r="J943" s="27">
        <v>88.771000000000001</v>
      </c>
      <c r="K943" s="27">
        <v>1.956</v>
      </c>
      <c r="T943" s="29"/>
      <c r="U943" s="27">
        <v>0</v>
      </c>
      <c r="V943" s="27">
        <v>0</v>
      </c>
      <c r="W943" s="27">
        <v>0</v>
      </c>
      <c r="X943" s="27">
        <v>0</v>
      </c>
      <c r="Y943" s="27">
        <v>92.31</v>
      </c>
      <c r="Z943" s="27">
        <v>0</v>
      </c>
    </row>
    <row r="944" spans="1:26" s="27" customFormat="1" ht="20.25" customHeight="1" x14ac:dyDescent="0.45">
      <c r="A944" s="26"/>
      <c r="B944" s="28"/>
      <c r="E944" s="29"/>
      <c r="F944" s="27">
        <v>0.28899999999999998</v>
      </c>
      <c r="G944" s="27">
        <v>2.88</v>
      </c>
      <c r="H944" s="27">
        <v>2</v>
      </c>
      <c r="I944" s="27">
        <v>3.895</v>
      </c>
      <c r="J944" s="27">
        <v>-42.878999999999998</v>
      </c>
      <c r="K944" s="27">
        <v>2.2949999999999999</v>
      </c>
      <c r="T944" s="29"/>
      <c r="U944" s="27">
        <v>0.34599999999999997</v>
      </c>
      <c r="V944" s="27">
        <v>3.7669999999999999</v>
      </c>
      <c r="W944" s="27">
        <v>2.1589999999999998</v>
      </c>
      <c r="X944" s="27">
        <v>5.1150000000000002</v>
      </c>
      <c r="Y944" s="27">
        <v>-109.983</v>
      </c>
      <c r="Z944" s="27">
        <v>2.7370000000000001</v>
      </c>
    </row>
    <row r="945" spans="1:26" s="27" customFormat="1" ht="20.25" customHeight="1" x14ac:dyDescent="0.45">
      <c r="A945" s="26"/>
      <c r="B945" s="28"/>
      <c r="E945" s="29"/>
      <c r="F945" s="27">
        <v>0</v>
      </c>
      <c r="G945" s="27">
        <v>0</v>
      </c>
      <c r="H945" s="27">
        <v>0</v>
      </c>
      <c r="I945" s="27">
        <v>0</v>
      </c>
      <c r="J945" s="27">
        <v>139.142</v>
      </c>
      <c r="K945" s="27">
        <v>0</v>
      </c>
      <c r="T945" s="29"/>
      <c r="U945" s="27">
        <v>0</v>
      </c>
      <c r="V945" s="27">
        <v>0</v>
      </c>
      <c r="W945" s="27">
        <v>0</v>
      </c>
      <c r="X945" s="27">
        <v>0</v>
      </c>
      <c r="Y945" s="27">
        <v>132.59200000000001</v>
      </c>
      <c r="Z945" s="27">
        <v>0</v>
      </c>
    </row>
    <row r="946" spans="1:26" s="27" customFormat="1" ht="20.25" customHeight="1" x14ac:dyDescent="0.45">
      <c r="A946" s="26"/>
      <c r="B946" s="28"/>
      <c r="E946" s="27">
        <v>1</v>
      </c>
      <c r="F946" s="27">
        <v>0.79400000000000004</v>
      </c>
      <c r="G946" s="27">
        <v>15.877000000000001</v>
      </c>
      <c r="H946" s="27">
        <v>11.667</v>
      </c>
      <c r="I946" s="27">
        <v>22.481000000000002</v>
      </c>
      <c r="J946" s="27">
        <v>-109.44</v>
      </c>
      <c r="K946" s="27">
        <v>6.4969999999999999</v>
      </c>
      <c r="T946" s="27">
        <v>1</v>
      </c>
      <c r="U946" s="27">
        <v>0.36099999999999999</v>
      </c>
      <c r="V946" s="27">
        <v>30.943000000000001</v>
      </c>
      <c r="W946" s="27">
        <v>23.167000000000002</v>
      </c>
      <c r="X946" s="27">
        <v>40</v>
      </c>
      <c r="Y946" s="27">
        <v>-131.63399999999999</v>
      </c>
      <c r="Z946" s="27">
        <v>2.8929999999999998</v>
      </c>
    </row>
    <row r="947" spans="1:26" s="27" customFormat="1" ht="20.25" customHeight="1" x14ac:dyDescent="0.45">
      <c r="A947" s="26"/>
      <c r="B947" s="28"/>
      <c r="E947" s="29"/>
      <c r="F947" s="27">
        <v>0</v>
      </c>
      <c r="G947" s="27">
        <v>0</v>
      </c>
      <c r="H947" s="27">
        <v>0</v>
      </c>
      <c r="I947" s="27">
        <v>0</v>
      </c>
      <c r="J947" s="27">
        <v>114.666</v>
      </c>
      <c r="K947" s="27">
        <v>0</v>
      </c>
      <c r="T947" s="29"/>
      <c r="U947" s="27">
        <v>0</v>
      </c>
      <c r="V947" s="27">
        <v>0</v>
      </c>
      <c r="W947" s="27">
        <v>0</v>
      </c>
      <c r="X947" s="27">
        <v>0</v>
      </c>
      <c r="Y947" s="27">
        <v>145.774</v>
      </c>
      <c r="Z947" s="27">
        <v>0</v>
      </c>
    </row>
    <row r="948" spans="1:26" s="27" customFormat="1" ht="20.25" customHeight="1" x14ac:dyDescent="0.45">
      <c r="A948" s="26"/>
      <c r="B948" s="28"/>
      <c r="E948" s="27">
        <v>1</v>
      </c>
      <c r="F948" s="27">
        <v>0.505</v>
      </c>
      <c r="G948" s="27">
        <v>85.245999999999995</v>
      </c>
      <c r="H948" s="27">
        <v>22</v>
      </c>
      <c r="I948" s="27">
        <v>119.31100000000001</v>
      </c>
      <c r="J948" s="27">
        <v>-118.072</v>
      </c>
      <c r="K948" s="27">
        <v>4.085</v>
      </c>
      <c r="T948" s="29"/>
      <c r="U948" s="27">
        <v>0.36099999999999999</v>
      </c>
      <c r="V948" s="27">
        <v>40.08</v>
      </c>
      <c r="W948" s="27">
        <v>28.777999999999999</v>
      </c>
      <c r="X948" s="27">
        <v>60.555999999999997</v>
      </c>
      <c r="Y948" s="27">
        <v>-82.875</v>
      </c>
      <c r="Z948" s="27">
        <v>2.9009999999999998</v>
      </c>
    </row>
    <row r="949" spans="1:26" s="27" customFormat="1" ht="20.25" customHeight="1" x14ac:dyDescent="0.45">
      <c r="A949" s="26"/>
      <c r="B949" s="28"/>
      <c r="E949" s="29"/>
      <c r="F949" s="27">
        <v>0</v>
      </c>
      <c r="G949" s="27">
        <v>0</v>
      </c>
      <c r="H949" s="27">
        <v>0</v>
      </c>
      <c r="I949" s="27">
        <v>0</v>
      </c>
      <c r="J949" s="27">
        <v>114.02500000000001</v>
      </c>
      <c r="K949" s="27">
        <v>0</v>
      </c>
      <c r="T949" s="29"/>
      <c r="U949" s="27">
        <v>0</v>
      </c>
      <c r="V949" s="27">
        <v>0</v>
      </c>
      <c r="W949" s="27">
        <v>0</v>
      </c>
      <c r="X949" s="27">
        <v>0</v>
      </c>
      <c r="Y949" s="27">
        <v>151.06800000000001</v>
      </c>
      <c r="Z949" s="27">
        <v>0</v>
      </c>
    </row>
    <row r="950" spans="1:26" s="27" customFormat="1" ht="20.25" customHeight="1" x14ac:dyDescent="0.45">
      <c r="A950" s="26">
        <v>2</v>
      </c>
      <c r="B950" s="28"/>
      <c r="C950" s="27" t="s">
        <v>126</v>
      </c>
      <c r="D950" s="27">
        <v>4</v>
      </c>
      <c r="M950" s="27">
        <v>1</v>
      </c>
      <c r="N950" s="27">
        <v>0.36099999999999999</v>
      </c>
      <c r="O950" s="27">
        <v>30.943000000000001</v>
      </c>
      <c r="P950" s="27">
        <v>23.167000000000002</v>
      </c>
      <c r="Q950" s="27">
        <v>40</v>
      </c>
      <c r="R950" s="27">
        <v>-131.63399999999999</v>
      </c>
      <c r="S950" s="27">
        <v>2.8929999999999998</v>
      </c>
    </row>
    <row r="951" spans="1:26" s="27" customFormat="1" ht="20.25" customHeight="1" x14ac:dyDescent="0.45">
      <c r="A951" s="26"/>
      <c r="B951" s="28">
        <v>1</v>
      </c>
      <c r="C951" s="27">
        <v>0.36099999999999999</v>
      </c>
      <c r="D951" s="27">
        <v>16.010000000000002</v>
      </c>
      <c r="E951" s="27">
        <v>10.407</v>
      </c>
      <c r="F951" s="27">
        <v>26.036999999999999</v>
      </c>
      <c r="G951" s="27">
        <v>160.017</v>
      </c>
      <c r="H951" s="27">
        <v>2.8879999999999999</v>
      </c>
      <c r="M951" s="29"/>
      <c r="N951" s="27">
        <v>0</v>
      </c>
      <c r="O951" s="27">
        <v>0</v>
      </c>
      <c r="P951" s="27">
        <v>0</v>
      </c>
      <c r="Q951" s="27">
        <v>0</v>
      </c>
      <c r="R951" s="27">
        <v>145.774</v>
      </c>
      <c r="S951" s="27">
        <v>0</v>
      </c>
    </row>
    <row r="952" spans="1:26" s="27" customFormat="1" ht="20.25" customHeight="1" x14ac:dyDescent="0.45">
      <c r="A952" s="26"/>
      <c r="B952" s="28"/>
      <c r="C952" s="27">
        <v>0</v>
      </c>
      <c r="D952" s="27">
        <v>0</v>
      </c>
      <c r="E952" s="27">
        <v>0</v>
      </c>
      <c r="F952" s="27">
        <v>0</v>
      </c>
      <c r="G952" s="27">
        <v>164.64400000000001</v>
      </c>
      <c r="H952" s="27">
        <v>2.4740000000000002</v>
      </c>
      <c r="M952" s="29"/>
      <c r="N952" s="27">
        <v>0.36099999999999999</v>
      </c>
      <c r="O952" s="27">
        <v>40.08</v>
      </c>
      <c r="P952" s="27">
        <v>28.777999999999999</v>
      </c>
      <c r="Q952" s="27">
        <v>60.555999999999997</v>
      </c>
      <c r="R952" s="27">
        <v>-82.875</v>
      </c>
      <c r="S952" s="27">
        <v>2.9009999999999998</v>
      </c>
    </row>
    <row r="953" spans="1:26" s="27" customFormat="1" ht="20.25" customHeight="1" x14ac:dyDescent="0.45">
      <c r="A953" s="26"/>
      <c r="B953" s="28">
        <v>1</v>
      </c>
      <c r="C953" s="27">
        <v>0.375</v>
      </c>
      <c r="D953" s="27">
        <v>5.1749999999999998</v>
      </c>
      <c r="E953" s="27">
        <v>0</v>
      </c>
      <c r="F953" s="27">
        <v>10.24</v>
      </c>
      <c r="G953" s="27">
        <v>31.759</v>
      </c>
      <c r="H953" s="27">
        <v>2.9670000000000001</v>
      </c>
      <c r="M953" s="29"/>
      <c r="N953" s="27">
        <v>0</v>
      </c>
      <c r="O953" s="27">
        <v>0</v>
      </c>
      <c r="P953" s="27">
        <v>0</v>
      </c>
      <c r="Q953" s="27">
        <v>0</v>
      </c>
      <c r="R953" s="27">
        <v>151.06800000000001</v>
      </c>
      <c r="S953" s="27">
        <v>0</v>
      </c>
    </row>
    <row r="954" spans="1:26" s="27" customFormat="1" ht="20.25" customHeight="1" x14ac:dyDescent="0.45">
      <c r="A954" s="26"/>
      <c r="B954" s="28"/>
      <c r="C954" s="27">
        <v>0</v>
      </c>
      <c r="D954" s="27">
        <v>0</v>
      </c>
      <c r="E954" s="27">
        <v>0</v>
      </c>
      <c r="F954" s="27">
        <v>0</v>
      </c>
      <c r="G954" s="27">
        <v>52.777999999999999</v>
      </c>
      <c r="H954" s="27">
        <v>0</v>
      </c>
      <c r="M954" s="27">
        <v>1</v>
      </c>
      <c r="N954" s="27">
        <v>1.111</v>
      </c>
      <c r="O954" s="27">
        <v>30.178999999999998</v>
      </c>
      <c r="P954" s="27">
        <v>18.667000000000002</v>
      </c>
      <c r="Q954" s="27">
        <v>42.649000000000001</v>
      </c>
      <c r="R954" s="27">
        <v>-111.523</v>
      </c>
      <c r="S954" s="27">
        <v>9.1769999999999996</v>
      </c>
    </row>
    <row r="955" spans="1:26" s="27" customFormat="1" ht="20.25" customHeight="1" x14ac:dyDescent="0.45">
      <c r="A955" s="26"/>
      <c r="B955" s="28"/>
      <c r="E955" s="27">
        <v>1</v>
      </c>
      <c r="F955" s="27">
        <v>0.95299999999999996</v>
      </c>
      <c r="G955" s="27">
        <v>18.47</v>
      </c>
      <c r="H955" s="27">
        <v>12.231</v>
      </c>
      <c r="I955" s="27">
        <v>28.768999999999998</v>
      </c>
      <c r="J955" s="27">
        <v>11.481999999999999</v>
      </c>
      <c r="K955" s="27">
        <v>7.8460000000000001</v>
      </c>
      <c r="M955" s="29"/>
      <c r="N955" s="27">
        <v>0</v>
      </c>
      <c r="O955" s="27">
        <v>0</v>
      </c>
      <c r="P955" s="27">
        <v>0</v>
      </c>
      <c r="Q955" s="27">
        <v>0</v>
      </c>
      <c r="R955" s="27">
        <v>56.558</v>
      </c>
      <c r="S955" s="27">
        <v>0</v>
      </c>
    </row>
    <row r="956" spans="1:26" s="27" customFormat="1" ht="20.25" customHeight="1" x14ac:dyDescent="0.45">
      <c r="A956" s="26"/>
      <c r="B956" s="28"/>
      <c r="E956" s="29"/>
      <c r="F956" s="27">
        <v>0</v>
      </c>
      <c r="G956" s="27">
        <v>0</v>
      </c>
      <c r="H956" s="27">
        <v>0</v>
      </c>
      <c r="I956" s="27">
        <v>0</v>
      </c>
      <c r="J956" s="27">
        <v>137.75399999999999</v>
      </c>
      <c r="K956" s="27">
        <v>0</v>
      </c>
    </row>
    <row r="957" spans="1:26" s="27" customFormat="1" ht="20.25" customHeight="1" x14ac:dyDescent="0.45">
      <c r="A957" s="26"/>
      <c r="B957" s="28"/>
      <c r="E957" s="27">
        <v>1</v>
      </c>
      <c r="F957" s="27">
        <v>0.44700000000000001</v>
      </c>
      <c r="G957" s="27">
        <v>6.6349999999999998</v>
      </c>
      <c r="H957" s="27">
        <v>1.8180000000000001</v>
      </c>
      <c r="I957" s="27">
        <v>15</v>
      </c>
      <c r="J957" s="27">
        <v>-118.301</v>
      </c>
      <c r="K957" s="27">
        <v>3.548</v>
      </c>
      <c r="N957" s="27" t="s">
        <v>123</v>
      </c>
      <c r="O957" s="27">
        <v>3</v>
      </c>
    </row>
    <row r="958" spans="1:26" s="27" customFormat="1" ht="20.25" customHeight="1" x14ac:dyDescent="0.45">
      <c r="A958" s="26"/>
      <c r="B958" s="28"/>
      <c r="E958" s="29"/>
      <c r="F958" s="27">
        <v>0</v>
      </c>
      <c r="G958" s="27">
        <v>0</v>
      </c>
      <c r="H958" s="27">
        <v>0</v>
      </c>
      <c r="I958" s="27">
        <v>0</v>
      </c>
      <c r="J958" s="27">
        <v>118.774</v>
      </c>
      <c r="K958" s="27">
        <v>0</v>
      </c>
      <c r="L958" s="27">
        <v>2</v>
      </c>
      <c r="M958" s="27">
        <v>1</v>
      </c>
      <c r="N958" s="27">
        <v>1.155</v>
      </c>
      <c r="O958" s="27">
        <v>8.5440000000000005</v>
      </c>
      <c r="P958" s="27">
        <v>1.3140000000000001</v>
      </c>
      <c r="Q958" s="27">
        <v>23.384</v>
      </c>
      <c r="R958" s="27">
        <v>121.464</v>
      </c>
      <c r="S958" s="27">
        <v>9.4369999999999994</v>
      </c>
    </row>
    <row r="959" spans="1:26" s="27" customFormat="1" ht="20.25" customHeight="1" x14ac:dyDescent="0.45">
      <c r="A959" s="26"/>
      <c r="B959" s="28"/>
      <c r="C959" s="27" t="s">
        <v>126</v>
      </c>
      <c r="D959" s="27">
        <v>5</v>
      </c>
      <c r="M959" s="29"/>
      <c r="N959" s="27">
        <v>0</v>
      </c>
      <c r="O959" s="27">
        <v>0</v>
      </c>
      <c r="P959" s="27">
        <v>0</v>
      </c>
      <c r="Q959" s="27">
        <v>0</v>
      </c>
      <c r="R959" s="27">
        <v>172.37200000000001</v>
      </c>
      <c r="S959" s="27">
        <v>0</v>
      </c>
      <c r="T959" s="29"/>
      <c r="U959" s="29"/>
      <c r="V959" s="29"/>
      <c r="W959" s="29"/>
    </row>
    <row r="960" spans="1:26" s="27" customFormat="1" ht="20.25" customHeight="1" x14ac:dyDescent="0.45">
      <c r="A960" s="26">
        <v>3</v>
      </c>
      <c r="B960" s="28">
        <v>1</v>
      </c>
      <c r="C960" s="27">
        <v>0.77900000000000003</v>
      </c>
      <c r="D960" s="27">
        <v>14.031000000000001</v>
      </c>
      <c r="E960" s="27">
        <v>7.2050000000000001</v>
      </c>
      <c r="F960" s="27">
        <v>19.846</v>
      </c>
      <c r="G960" s="27">
        <v>-59.588999999999999</v>
      </c>
      <c r="H960" s="27">
        <v>6.319</v>
      </c>
      <c r="Q960" s="29"/>
      <c r="R960" s="29"/>
      <c r="S960" s="29"/>
      <c r="T960" s="27">
        <v>1</v>
      </c>
      <c r="U960" s="27">
        <v>0.83699999999999997</v>
      </c>
      <c r="V960" s="27">
        <v>4.9770000000000003</v>
      </c>
      <c r="W960" s="27">
        <v>2.0529999999999999</v>
      </c>
      <c r="X960" s="27">
        <v>9.1219999999999999</v>
      </c>
      <c r="Y960" s="27">
        <v>-40.710999999999999</v>
      </c>
      <c r="Z960" s="27">
        <v>6.8150000000000004</v>
      </c>
    </row>
    <row r="961" spans="1:26" s="27" customFormat="1" ht="20.25" customHeight="1" x14ac:dyDescent="0.45">
      <c r="A961" s="26"/>
      <c r="B961" s="28"/>
      <c r="C961" s="27">
        <v>0</v>
      </c>
      <c r="D961" s="27">
        <v>0</v>
      </c>
      <c r="E961" s="27">
        <v>0</v>
      </c>
      <c r="F961" s="27">
        <v>0</v>
      </c>
      <c r="G961" s="27">
        <v>179.81100000000001</v>
      </c>
      <c r="H961" s="27">
        <v>0</v>
      </c>
      <c r="Q961" s="29"/>
      <c r="R961" s="29"/>
      <c r="S961" s="29"/>
      <c r="T961" s="29"/>
      <c r="U961" s="27">
        <v>0</v>
      </c>
      <c r="V961" s="27">
        <v>0</v>
      </c>
      <c r="W961" s="27">
        <v>0</v>
      </c>
      <c r="X961" s="27">
        <v>0</v>
      </c>
      <c r="Y961" s="27">
        <v>18.388999999999999</v>
      </c>
      <c r="Z961" s="27">
        <v>6.8150000000000004</v>
      </c>
    </row>
    <row r="962" spans="1:26" s="27" customFormat="1" ht="20.25" customHeight="1" x14ac:dyDescent="0.45">
      <c r="A962" s="26"/>
      <c r="B962" s="28"/>
      <c r="E962" s="27">
        <v>1</v>
      </c>
      <c r="F962" s="27">
        <v>0.88</v>
      </c>
      <c r="G962" s="27">
        <v>19.385000000000002</v>
      </c>
      <c r="H962" s="27">
        <v>10.805</v>
      </c>
      <c r="I962" s="27">
        <v>30.96</v>
      </c>
      <c r="J962" s="27">
        <v>-55.244</v>
      </c>
      <c r="K962" s="27">
        <v>7.165</v>
      </c>
      <c r="Q962" s="29"/>
      <c r="R962" s="29"/>
      <c r="S962" s="29"/>
      <c r="T962" s="27">
        <v>1</v>
      </c>
      <c r="U962" s="27">
        <v>0.375</v>
      </c>
      <c r="V962" s="27">
        <v>18.577000000000002</v>
      </c>
      <c r="W962" s="27">
        <v>12</v>
      </c>
      <c r="X962" s="27">
        <v>24</v>
      </c>
      <c r="Y962" s="27">
        <v>180</v>
      </c>
      <c r="Z962" s="27">
        <v>3.0030000000000001</v>
      </c>
    </row>
    <row r="963" spans="1:26" s="27" customFormat="1" ht="20.25" customHeight="1" x14ac:dyDescent="0.45">
      <c r="A963" s="26"/>
      <c r="B963" s="28"/>
      <c r="E963" s="29"/>
      <c r="F963" s="27">
        <v>0</v>
      </c>
      <c r="G963" s="27">
        <v>0</v>
      </c>
      <c r="H963" s="27">
        <v>0</v>
      </c>
      <c r="I963" s="27">
        <v>0</v>
      </c>
      <c r="J963" s="27">
        <v>122.76300000000001</v>
      </c>
      <c r="K963" s="27">
        <v>0</v>
      </c>
      <c r="T963" s="29"/>
      <c r="U963" s="27">
        <v>0</v>
      </c>
      <c r="V963" s="27">
        <v>0</v>
      </c>
      <c r="W963" s="27">
        <v>0</v>
      </c>
      <c r="X963" s="27">
        <v>0</v>
      </c>
      <c r="Y963" s="27">
        <v>97.921000000000006</v>
      </c>
      <c r="Z963" s="27">
        <v>0</v>
      </c>
    </row>
    <row r="964" spans="1:26" s="27" customFormat="1" ht="20.25" customHeight="1" x14ac:dyDescent="0.45">
      <c r="A964" s="26"/>
      <c r="B964" s="28"/>
      <c r="E964" s="27">
        <v>1</v>
      </c>
      <c r="F964" s="27">
        <v>0.72199999999999998</v>
      </c>
      <c r="G964" s="27">
        <v>30.721</v>
      </c>
      <c r="H964" s="27">
        <v>17.890999999999998</v>
      </c>
      <c r="I964" s="27">
        <v>55.097999999999999</v>
      </c>
      <c r="J964" s="27">
        <v>-144.05799999999999</v>
      </c>
      <c r="K964" s="27">
        <v>5.9359999999999999</v>
      </c>
      <c r="T964" s="27">
        <v>1</v>
      </c>
      <c r="U964" s="27">
        <v>0.63500000000000001</v>
      </c>
      <c r="V964" s="27">
        <v>20.042999999999999</v>
      </c>
      <c r="W964" s="27">
        <v>6.4450000000000003</v>
      </c>
      <c r="X964" s="27">
        <v>33.72</v>
      </c>
      <c r="Y964" s="27">
        <v>32.573999999999998</v>
      </c>
      <c r="Z964" s="27">
        <v>5.1319999999999997</v>
      </c>
    </row>
    <row r="965" spans="1:26" s="27" customFormat="1" ht="20.25" customHeight="1" x14ac:dyDescent="0.45">
      <c r="A965" s="26"/>
      <c r="B965" s="28"/>
      <c r="E965" s="29"/>
      <c r="F965" s="27">
        <v>0</v>
      </c>
      <c r="G965" s="27">
        <v>0</v>
      </c>
      <c r="H965" s="27">
        <v>0</v>
      </c>
      <c r="I965" s="27">
        <v>0</v>
      </c>
      <c r="J965" s="27">
        <v>156.59100000000001</v>
      </c>
      <c r="K965" s="27">
        <v>0</v>
      </c>
      <c r="T965" s="29"/>
      <c r="U965" s="27">
        <v>0</v>
      </c>
      <c r="V965" s="27">
        <v>0</v>
      </c>
      <c r="W965" s="27">
        <v>0</v>
      </c>
      <c r="X965" s="27">
        <v>0</v>
      </c>
      <c r="Y965" s="27">
        <v>60.192999999999998</v>
      </c>
      <c r="Z965" s="27">
        <v>0</v>
      </c>
    </row>
    <row r="966" spans="1:26" s="27" customFormat="1" ht="20.25" customHeight="1" x14ac:dyDescent="0.45">
      <c r="A966" s="26"/>
      <c r="B966" s="28"/>
      <c r="D966" s="27">
        <v>41</v>
      </c>
      <c r="E966" s="27">
        <v>1</v>
      </c>
      <c r="F966" s="27">
        <v>0.34599999999999997</v>
      </c>
      <c r="G966" s="27">
        <v>49.292999999999999</v>
      </c>
      <c r="H966" s="27">
        <v>7.5990000000000002</v>
      </c>
      <c r="I966" s="27">
        <v>121.964</v>
      </c>
      <c r="J966" s="27">
        <v>106.928</v>
      </c>
      <c r="K966" s="27">
        <v>2.7890000000000001</v>
      </c>
      <c r="T966" s="29"/>
      <c r="U966" s="27">
        <v>0.73599999999999999</v>
      </c>
      <c r="V966" s="27">
        <v>11.15</v>
      </c>
      <c r="W966" s="27">
        <v>2.0529999999999999</v>
      </c>
      <c r="X966" s="27">
        <v>29</v>
      </c>
      <c r="Y966" s="27">
        <v>39.369</v>
      </c>
      <c r="Z966" s="27">
        <v>6.0609999999999999</v>
      </c>
    </row>
    <row r="967" spans="1:26" s="27" customFormat="1" ht="20.25" customHeight="1" x14ac:dyDescent="0.45">
      <c r="A967" s="26"/>
      <c r="B967" s="28"/>
      <c r="E967" s="29"/>
      <c r="F967" s="27">
        <v>0</v>
      </c>
      <c r="G967" s="27">
        <v>0</v>
      </c>
      <c r="H967" s="27">
        <v>0</v>
      </c>
      <c r="I967" s="27">
        <v>0</v>
      </c>
      <c r="J967" s="27">
        <v>61.445999999999998</v>
      </c>
      <c r="K967" s="27">
        <v>0</v>
      </c>
      <c r="T967" s="29"/>
      <c r="U967" s="27">
        <v>0</v>
      </c>
      <c r="V967" s="27">
        <v>0</v>
      </c>
      <c r="W967" s="27">
        <v>0</v>
      </c>
      <c r="X967" s="27">
        <v>0</v>
      </c>
      <c r="Y967" s="27">
        <v>52.906999999999996</v>
      </c>
      <c r="Z967" s="27">
        <v>0</v>
      </c>
    </row>
    <row r="968" spans="1:26" s="27" customFormat="1" ht="20.25" customHeight="1" x14ac:dyDescent="0.45">
      <c r="A968" s="26"/>
      <c r="B968" s="28"/>
      <c r="E968" s="29"/>
      <c r="F968" s="27">
        <v>0.33200000000000002</v>
      </c>
      <c r="G968" s="27">
        <v>31.103000000000002</v>
      </c>
      <c r="H968" s="27">
        <v>16.667000000000002</v>
      </c>
      <c r="I968" s="27">
        <v>67.667000000000002</v>
      </c>
      <c r="J968" s="27">
        <v>-84.805999999999997</v>
      </c>
      <c r="K968" s="27">
        <v>2.6480000000000001</v>
      </c>
      <c r="T968" s="29"/>
      <c r="U968" s="27">
        <v>0.49099999999999999</v>
      </c>
      <c r="V968" s="27">
        <v>9.6989999999999998</v>
      </c>
      <c r="W968" s="27">
        <v>4.2729999999999997</v>
      </c>
      <c r="X968" s="27">
        <v>17</v>
      </c>
      <c r="Y968" s="27">
        <v>-25.016999999999999</v>
      </c>
      <c r="Z968" s="27">
        <v>3.9769999999999999</v>
      </c>
    </row>
    <row r="969" spans="1:26" s="27" customFormat="1" ht="20.25" customHeight="1" x14ac:dyDescent="0.45">
      <c r="A969" s="26"/>
      <c r="B969" s="28"/>
      <c r="E969" s="29"/>
      <c r="F969" s="27">
        <v>0</v>
      </c>
      <c r="G969" s="27">
        <v>0</v>
      </c>
      <c r="H969" s="27">
        <v>0</v>
      </c>
      <c r="I969" s="27">
        <v>0</v>
      </c>
      <c r="J969" s="27">
        <v>129.83699999999999</v>
      </c>
      <c r="K969" s="27">
        <v>0</v>
      </c>
      <c r="T969" s="29"/>
      <c r="U969" s="27">
        <v>0</v>
      </c>
      <c r="V969" s="27">
        <v>0</v>
      </c>
      <c r="W969" s="27">
        <v>0</v>
      </c>
      <c r="X969" s="27">
        <v>0</v>
      </c>
      <c r="Y969" s="27">
        <v>123.871</v>
      </c>
      <c r="Z969" s="27">
        <v>0</v>
      </c>
    </row>
    <row r="970" spans="1:26" s="27" customFormat="1" ht="20.25" customHeight="1" x14ac:dyDescent="0.45">
      <c r="A970" s="26"/>
      <c r="B970" s="28"/>
      <c r="E970" s="27">
        <v>1</v>
      </c>
      <c r="F970" s="27">
        <v>0.56299999999999994</v>
      </c>
      <c r="G970" s="27">
        <v>80.653999999999996</v>
      </c>
      <c r="H970" s="27">
        <v>38</v>
      </c>
      <c r="I970" s="27">
        <v>174.27099999999999</v>
      </c>
      <c r="J970" s="27">
        <v>-38.659999999999997</v>
      </c>
      <c r="K970" s="27">
        <v>4.6159999999999997</v>
      </c>
      <c r="T970" s="29"/>
      <c r="U970" s="27">
        <v>0.39</v>
      </c>
      <c r="V970" s="27">
        <v>14.407999999999999</v>
      </c>
      <c r="W970" s="27">
        <v>11</v>
      </c>
      <c r="X970" s="27">
        <v>18.012</v>
      </c>
      <c r="Y970" s="27">
        <v>-72.254999999999995</v>
      </c>
      <c r="Z970" s="27">
        <v>3.153</v>
      </c>
    </row>
    <row r="971" spans="1:26" s="27" customFormat="1" ht="20.25" customHeight="1" x14ac:dyDescent="0.45">
      <c r="A971" s="26"/>
      <c r="B971" s="28"/>
      <c r="E971" s="29"/>
      <c r="F971" s="27">
        <v>0</v>
      </c>
      <c r="G971" s="27">
        <v>0</v>
      </c>
      <c r="H971" s="27">
        <v>0</v>
      </c>
      <c r="I971" s="27">
        <v>0</v>
      </c>
      <c r="J971" s="27">
        <v>59.779000000000003</v>
      </c>
      <c r="K971" s="27">
        <v>0</v>
      </c>
      <c r="T971" s="29"/>
      <c r="U971" s="27">
        <v>0</v>
      </c>
      <c r="V971" s="27">
        <v>0</v>
      </c>
      <c r="W971" s="27">
        <v>0</v>
      </c>
      <c r="X971" s="27">
        <v>0</v>
      </c>
      <c r="Y971" s="27">
        <v>168.47900000000001</v>
      </c>
      <c r="Z971" s="27">
        <v>0</v>
      </c>
    </row>
    <row r="972" spans="1:26" s="27" customFormat="1" ht="20.25" customHeight="1" x14ac:dyDescent="0.45">
      <c r="A972" s="26"/>
      <c r="B972" s="28"/>
      <c r="C972" s="27" t="s">
        <v>126</v>
      </c>
      <c r="D972" s="27">
        <v>5</v>
      </c>
      <c r="T972" s="27">
        <v>1</v>
      </c>
      <c r="U972" s="27">
        <v>0.34599999999999997</v>
      </c>
      <c r="V972" s="27">
        <v>4.798</v>
      </c>
      <c r="W972" s="27">
        <v>1.673</v>
      </c>
      <c r="X972" s="27">
        <v>14</v>
      </c>
      <c r="Y972" s="27">
        <v>-149.036</v>
      </c>
      <c r="Z972" s="27">
        <v>2.802</v>
      </c>
    </row>
    <row r="973" spans="1:26" s="27" customFormat="1" ht="20.25" customHeight="1" x14ac:dyDescent="0.45">
      <c r="A973" s="26">
        <v>4</v>
      </c>
      <c r="E973" s="28">
        <v>1</v>
      </c>
      <c r="F973" s="27">
        <v>0.56299999999999994</v>
      </c>
      <c r="G973" s="27">
        <v>2.3359999999999999</v>
      </c>
      <c r="H973" s="27">
        <v>1</v>
      </c>
      <c r="I973" s="27">
        <v>7.016</v>
      </c>
      <c r="J973" s="27">
        <v>-172.50399999999999</v>
      </c>
      <c r="K973" s="27">
        <v>4.5199999999999996</v>
      </c>
      <c r="T973" s="29"/>
      <c r="U973" s="27">
        <v>0</v>
      </c>
      <c r="V973" s="27">
        <v>0</v>
      </c>
      <c r="W973" s="27">
        <v>0</v>
      </c>
      <c r="X973" s="27">
        <v>0</v>
      </c>
      <c r="Y973" s="27">
        <v>147.74299999999999</v>
      </c>
      <c r="Z973" s="27">
        <v>0</v>
      </c>
    </row>
    <row r="974" spans="1:26" s="27" customFormat="1" ht="20.25" customHeight="1" x14ac:dyDescent="0.45">
      <c r="A974" s="26"/>
      <c r="E974" s="28"/>
      <c r="F974" s="27">
        <v>0</v>
      </c>
      <c r="G974" s="27">
        <v>0</v>
      </c>
      <c r="H974" s="27">
        <v>0</v>
      </c>
      <c r="I974" s="27">
        <v>0</v>
      </c>
      <c r="J974" s="27">
        <v>167.28800000000001</v>
      </c>
      <c r="K974" s="27">
        <v>0</v>
      </c>
      <c r="T974" s="29"/>
      <c r="U974" s="27">
        <v>0.77900000000000003</v>
      </c>
      <c r="V974" s="27">
        <v>4.8</v>
      </c>
      <c r="W974" s="27">
        <v>1.5349999999999999</v>
      </c>
      <c r="X974" s="27">
        <v>9.5860000000000003</v>
      </c>
      <c r="Y974" s="27">
        <v>106.39</v>
      </c>
      <c r="Z974" s="27">
        <v>6.3869999999999996</v>
      </c>
    </row>
    <row r="975" spans="1:26" s="27" customFormat="1" ht="20.25" customHeight="1" x14ac:dyDescent="0.45">
      <c r="A975" s="26"/>
      <c r="E975" s="28">
        <v>1</v>
      </c>
      <c r="F975" s="27">
        <v>0.73599999999999999</v>
      </c>
      <c r="G975" s="27">
        <v>5.7720000000000002</v>
      </c>
      <c r="H975" s="27">
        <v>2.0990000000000002</v>
      </c>
      <c r="I975" s="27">
        <v>11.18</v>
      </c>
      <c r="J975" s="27">
        <v>-157.55699999999999</v>
      </c>
      <c r="K975" s="27">
        <v>5.9790000000000001</v>
      </c>
      <c r="T975" s="29"/>
      <c r="U975" s="27">
        <v>0</v>
      </c>
      <c r="V975" s="27">
        <v>0</v>
      </c>
      <c r="W975" s="27">
        <v>0</v>
      </c>
      <c r="X975" s="27">
        <v>0</v>
      </c>
      <c r="Y975" s="27">
        <v>101.145</v>
      </c>
      <c r="Z975" s="27">
        <v>0</v>
      </c>
    </row>
    <row r="976" spans="1:26" s="27" customFormat="1" ht="20.25" customHeight="1" x14ac:dyDescent="0.45">
      <c r="A976" s="26"/>
      <c r="E976" s="28"/>
      <c r="F976" s="27">
        <v>0</v>
      </c>
      <c r="G976" s="27">
        <v>0</v>
      </c>
      <c r="H976" s="27">
        <v>0</v>
      </c>
      <c r="I976" s="27">
        <v>0</v>
      </c>
      <c r="J976" s="27">
        <v>176.32300000000001</v>
      </c>
      <c r="K976" s="27">
        <v>0</v>
      </c>
      <c r="T976" s="29"/>
      <c r="U976" s="27">
        <v>0.56299999999999994</v>
      </c>
      <c r="V976" s="27">
        <v>9.3620000000000001</v>
      </c>
      <c r="W976" s="27">
        <v>2.64</v>
      </c>
      <c r="X976" s="27">
        <v>18.079999999999998</v>
      </c>
      <c r="Y976" s="27">
        <v>122.005</v>
      </c>
      <c r="Z976" s="27">
        <v>4.5339999999999998</v>
      </c>
    </row>
    <row r="977" spans="1:26" s="27" customFormat="1" ht="20.25" customHeight="1" x14ac:dyDescent="0.45">
      <c r="A977" s="26"/>
      <c r="B977" s="28"/>
      <c r="C977" s="27" t="s">
        <v>126</v>
      </c>
      <c r="D977" s="27">
        <v>1</v>
      </c>
      <c r="T977" s="29"/>
      <c r="U977" s="27">
        <v>0</v>
      </c>
      <c r="V977" s="27">
        <v>0</v>
      </c>
      <c r="W977" s="27">
        <v>0</v>
      </c>
      <c r="X977" s="27">
        <v>0</v>
      </c>
      <c r="Y977" s="27">
        <v>117.95099999999999</v>
      </c>
      <c r="Z977" s="27">
        <v>0</v>
      </c>
    </row>
    <row r="978" spans="1:26" s="27" customFormat="1" ht="20.25" customHeight="1" x14ac:dyDescent="0.45">
      <c r="A978" s="26">
        <v>5</v>
      </c>
      <c r="B978" s="28">
        <v>1</v>
      </c>
      <c r="C978" s="27">
        <v>0.79400000000000004</v>
      </c>
      <c r="D978" s="27">
        <v>6.9029999999999996</v>
      </c>
      <c r="E978" s="27">
        <v>2</v>
      </c>
      <c r="F978" s="27">
        <v>21.556000000000001</v>
      </c>
      <c r="G978" s="27">
        <v>7.3860000000000001</v>
      </c>
      <c r="H978" s="27">
        <v>6.5469999999999997</v>
      </c>
      <c r="N978" s="27" t="s">
        <v>123</v>
      </c>
      <c r="O978" s="27">
        <v>1</v>
      </c>
    </row>
    <row r="979" spans="1:26" s="27" customFormat="1" ht="20.25" customHeight="1" x14ac:dyDescent="0.45">
      <c r="A979" s="26"/>
      <c r="B979" s="28"/>
      <c r="C979" s="27">
        <v>0</v>
      </c>
      <c r="D979" s="27">
        <v>0</v>
      </c>
      <c r="E979" s="27">
        <v>0</v>
      </c>
      <c r="F979" s="27">
        <v>0</v>
      </c>
      <c r="G979" s="27">
        <v>152.511</v>
      </c>
      <c r="H979" s="27">
        <v>6.5469999999999997</v>
      </c>
      <c r="L979" s="27">
        <v>4</v>
      </c>
      <c r="T979" s="27">
        <v>1</v>
      </c>
      <c r="U979" s="27">
        <v>0.52</v>
      </c>
      <c r="V979" s="27">
        <v>5.5279999999999996</v>
      </c>
      <c r="W979" s="27">
        <v>2.98</v>
      </c>
      <c r="X979" s="27">
        <v>10.62</v>
      </c>
      <c r="Y979" s="27">
        <v>21.501000000000001</v>
      </c>
      <c r="Z979" s="27">
        <v>4.2610000000000001</v>
      </c>
    </row>
    <row r="980" spans="1:26" s="27" customFormat="1" ht="20.25" customHeight="1" x14ac:dyDescent="0.45">
      <c r="A980" s="26"/>
      <c r="B980" s="28"/>
      <c r="E980" s="27">
        <v>1</v>
      </c>
      <c r="F980" s="27">
        <v>0.621</v>
      </c>
      <c r="G980" s="27">
        <v>4.7590000000000003</v>
      </c>
      <c r="H980" s="27">
        <v>1.873</v>
      </c>
      <c r="I980" s="27">
        <v>9.5709999999999997</v>
      </c>
      <c r="J980" s="27">
        <v>19.29</v>
      </c>
      <c r="K980" s="27">
        <v>5.0910000000000002</v>
      </c>
      <c r="T980" s="29"/>
      <c r="U980" s="27">
        <v>0</v>
      </c>
      <c r="V980" s="27">
        <v>0</v>
      </c>
      <c r="W980" s="27">
        <v>0</v>
      </c>
      <c r="X980" s="27">
        <v>0</v>
      </c>
      <c r="Y980" s="27">
        <v>143.15899999999999</v>
      </c>
      <c r="Z980" s="27">
        <v>0</v>
      </c>
    </row>
    <row r="981" spans="1:26" s="27" customFormat="1" ht="20.25" customHeight="1" x14ac:dyDescent="0.45">
      <c r="A981" s="26"/>
      <c r="B981" s="28"/>
      <c r="E981" s="29"/>
      <c r="F981" s="27">
        <v>0</v>
      </c>
      <c r="G981" s="27">
        <v>0</v>
      </c>
      <c r="H981" s="27">
        <v>0</v>
      </c>
      <c r="I981" s="27">
        <v>0</v>
      </c>
      <c r="J981" s="27">
        <v>128.20699999999999</v>
      </c>
      <c r="K981" s="27">
        <v>5.27</v>
      </c>
      <c r="T981" s="29"/>
      <c r="U981" s="27">
        <v>0.30299999999999999</v>
      </c>
      <c r="V981" s="27">
        <v>26.957000000000001</v>
      </c>
      <c r="W981" s="27">
        <v>18.059999999999999</v>
      </c>
      <c r="X981" s="27">
        <v>49.92</v>
      </c>
      <c r="Y981" s="27">
        <v>-45</v>
      </c>
      <c r="Z981" s="27">
        <v>2.379</v>
      </c>
    </row>
    <row r="982" spans="1:26" s="27" customFormat="1" ht="20.25" customHeight="1" x14ac:dyDescent="0.45">
      <c r="A982" s="26"/>
      <c r="B982" s="28"/>
      <c r="E982" s="29"/>
      <c r="F982" s="27">
        <v>0.44700000000000001</v>
      </c>
      <c r="G982" s="27">
        <v>7.5519999999999996</v>
      </c>
      <c r="H982" s="27">
        <v>5.3</v>
      </c>
      <c r="I982" s="27">
        <v>10.96</v>
      </c>
      <c r="J982" s="27">
        <v>-107.241</v>
      </c>
      <c r="K982" s="27">
        <v>3.6480000000000001</v>
      </c>
      <c r="T982" s="29"/>
      <c r="U982" s="27">
        <v>0</v>
      </c>
      <c r="V982" s="27">
        <v>0</v>
      </c>
      <c r="W982" s="27">
        <v>0</v>
      </c>
      <c r="X982" s="27">
        <v>0</v>
      </c>
      <c r="Y982" s="27">
        <v>83.569000000000003</v>
      </c>
      <c r="Z982" s="27">
        <v>0</v>
      </c>
    </row>
    <row r="983" spans="1:26" s="27" customFormat="1" ht="20.25" customHeight="1" x14ac:dyDescent="0.45">
      <c r="A983" s="26"/>
      <c r="B983" s="28"/>
      <c r="E983" s="29"/>
      <c r="F983" s="27">
        <v>0</v>
      </c>
      <c r="G983" s="27">
        <v>0</v>
      </c>
      <c r="H983" s="27">
        <v>0</v>
      </c>
      <c r="I983" s="27">
        <v>0</v>
      </c>
      <c r="J983" s="27">
        <v>94.775000000000006</v>
      </c>
      <c r="K983" s="27">
        <v>0</v>
      </c>
      <c r="T983" s="29"/>
      <c r="U983" s="27">
        <v>0.33200000000000002</v>
      </c>
      <c r="V983" s="27">
        <v>10.888999999999999</v>
      </c>
      <c r="W983" s="27">
        <v>3.1819999999999999</v>
      </c>
      <c r="X983" s="27">
        <v>19.635999999999999</v>
      </c>
      <c r="Y983" s="27">
        <v>10.305</v>
      </c>
      <c r="Z983" s="27">
        <v>2.6859999999999999</v>
      </c>
    </row>
    <row r="984" spans="1:26" s="27" customFormat="1" ht="20.25" customHeight="1" x14ac:dyDescent="0.45">
      <c r="A984" s="26"/>
      <c r="B984" s="28"/>
      <c r="E984" s="29"/>
      <c r="F984" s="27">
        <v>0.73599999999999999</v>
      </c>
      <c r="G984" s="27">
        <v>17.481999999999999</v>
      </c>
      <c r="H984" s="27">
        <v>12</v>
      </c>
      <c r="I984" s="27">
        <v>27.222000000000001</v>
      </c>
      <c r="J984" s="27">
        <v>-50.631</v>
      </c>
      <c r="K984" s="27">
        <v>6.03</v>
      </c>
      <c r="T984" s="29"/>
      <c r="U984" s="27">
        <v>0</v>
      </c>
      <c r="V984" s="27">
        <v>0</v>
      </c>
      <c r="W984" s="27">
        <v>0</v>
      </c>
      <c r="X984" s="27">
        <v>0</v>
      </c>
      <c r="Y984" s="27">
        <v>152.55000000000001</v>
      </c>
      <c r="Z984" s="27">
        <v>0</v>
      </c>
    </row>
    <row r="985" spans="1:26" s="27" customFormat="1" ht="20.25" customHeight="1" x14ac:dyDescent="0.45">
      <c r="A985" s="26"/>
      <c r="B985" s="28"/>
      <c r="E985" s="29"/>
      <c r="F985" s="27">
        <v>0</v>
      </c>
      <c r="G985" s="27">
        <v>0</v>
      </c>
      <c r="H985" s="27">
        <v>0</v>
      </c>
      <c r="I985" s="27">
        <v>0</v>
      </c>
      <c r="J985" s="27">
        <v>133.55799999999999</v>
      </c>
      <c r="K985" s="27">
        <v>0</v>
      </c>
      <c r="T985" s="29"/>
      <c r="U985" s="27">
        <v>0.47599999999999998</v>
      </c>
      <c r="V985" s="27">
        <v>29.25</v>
      </c>
      <c r="W985" s="27">
        <v>18.937999999999999</v>
      </c>
      <c r="X985" s="27">
        <v>42.625</v>
      </c>
      <c r="Y985" s="27">
        <v>-3.5760000000000001</v>
      </c>
      <c r="Z985" s="27">
        <v>3.8519999999999999</v>
      </c>
    </row>
    <row r="986" spans="1:26" s="27" customFormat="1" ht="20.25" customHeight="1" x14ac:dyDescent="0.45">
      <c r="A986" s="26"/>
      <c r="B986" s="28"/>
      <c r="C986" s="27" t="s">
        <v>126</v>
      </c>
      <c r="D986" s="27">
        <v>1</v>
      </c>
      <c r="T986" s="29"/>
      <c r="U986" s="27">
        <v>0</v>
      </c>
      <c r="V986" s="27">
        <v>0</v>
      </c>
      <c r="W986" s="27">
        <v>0</v>
      </c>
      <c r="X986" s="27">
        <v>0</v>
      </c>
      <c r="Y986" s="27">
        <v>118.74</v>
      </c>
      <c r="Z986" s="27">
        <v>0</v>
      </c>
    </row>
    <row r="987" spans="1:26" s="27" customFormat="1" ht="20.25" customHeight="1" x14ac:dyDescent="0.45">
      <c r="A987" s="26">
        <v>6</v>
      </c>
      <c r="B987" s="28"/>
      <c r="E987" s="27">
        <v>1</v>
      </c>
      <c r="F987" s="27">
        <v>0.52</v>
      </c>
      <c r="G987" s="27">
        <v>27.835000000000001</v>
      </c>
      <c r="H987" s="27">
        <v>16.672999999999998</v>
      </c>
      <c r="I987" s="27">
        <v>42.286000000000001</v>
      </c>
      <c r="J987" s="27">
        <v>-45</v>
      </c>
      <c r="K987" s="27">
        <v>4.2480000000000002</v>
      </c>
      <c r="T987" s="27">
        <v>1</v>
      </c>
      <c r="U987" s="27">
        <v>0.57699999999999996</v>
      </c>
      <c r="V987" s="27">
        <v>6.8470000000000004</v>
      </c>
      <c r="W987" s="27">
        <v>2</v>
      </c>
      <c r="X987" s="27">
        <v>17.689</v>
      </c>
      <c r="Y987" s="27">
        <v>14.744</v>
      </c>
      <c r="Z987" s="27">
        <v>4.7210000000000001</v>
      </c>
    </row>
    <row r="988" spans="1:26" s="27" customFormat="1" ht="20.25" customHeight="1" x14ac:dyDescent="0.45">
      <c r="A988" s="26"/>
      <c r="B988" s="28"/>
      <c r="E988" s="29"/>
      <c r="F988" s="27">
        <v>0</v>
      </c>
      <c r="G988" s="27">
        <v>0</v>
      </c>
      <c r="H988" s="27">
        <v>0</v>
      </c>
      <c r="I988" s="27">
        <v>0</v>
      </c>
      <c r="J988" s="27">
        <v>147.22200000000001</v>
      </c>
      <c r="K988" s="27">
        <v>0</v>
      </c>
      <c r="T988" s="29"/>
      <c r="U988" s="27">
        <v>0</v>
      </c>
      <c r="V988" s="27">
        <v>0</v>
      </c>
      <c r="W988" s="27">
        <v>0</v>
      </c>
      <c r="X988" s="27">
        <v>0</v>
      </c>
      <c r="Y988" s="27">
        <v>154.44</v>
      </c>
      <c r="Z988" s="27">
        <v>0</v>
      </c>
    </row>
    <row r="989" spans="1:26" s="27" customFormat="1" ht="20.25" customHeight="1" x14ac:dyDescent="0.45">
      <c r="A989" s="26"/>
      <c r="B989" s="28"/>
      <c r="E989" s="27">
        <v>1</v>
      </c>
      <c r="F989" s="27">
        <v>0.39</v>
      </c>
      <c r="G989" s="27">
        <v>79.858000000000004</v>
      </c>
      <c r="H989" s="27">
        <v>58.667000000000002</v>
      </c>
      <c r="I989" s="27">
        <v>95.6</v>
      </c>
      <c r="J989" s="27">
        <v>74.358000000000004</v>
      </c>
      <c r="K989" s="27">
        <v>3.1680000000000001</v>
      </c>
      <c r="T989" s="29"/>
      <c r="U989" s="27">
        <v>0.318</v>
      </c>
      <c r="V989" s="27">
        <v>26.306999999999999</v>
      </c>
      <c r="W989" s="27">
        <v>10.599</v>
      </c>
      <c r="X989" s="27">
        <v>87</v>
      </c>
      <c r="Y989" s="27">
        <v>37.405000000000001</v>
      </c>
      <c r="Z989" s="27">
        <v>2.5710000000000002</v>
      </c>
    </row>
    <row r="990" spans="1:26" s="27" customFormat="1" ht="20.25" customHeight="1" x14ac:dyDescent="0.45">
      <c r="A990" s="26"/>
      <c r="B990" s="28"/>
      <c r="E990" s="29"/>
      <c r="F990" s="27">
        <v>0</v>
      </c>
      <c r="G990" s="27">
        <v>0</v>
      </c>
      <c r="H990" s="27">
        <v>0</v>
      </c>
      <c r="I990" s="27">
        <v>0</v>
      </c>
      <c r="J990" s="27">
        <v>106.206</v>
      </c>
      <c r="K990" s="27">
        <v>3.1680000000000001</v>
      </c>
      <c r="T990" s="29"/>
      <c r="U990" s="27">
        <v>0</v>
      </c>
      <c r="V990" s="27">
        <v>0</v>
      </c>
      <c r="W990" s="27">
        <v>0</v>
      </c>
      <c r="X990" s="27">
        <v>0</v>
      </c>
      <c r="Y990" s="27">
        <v>147.995</v>
      </c>
      <c r="Z990" s="27">
        <v>0</v>
      </c>
    </row>
    <row r="991" spans="1:26" s="27" customFormat="1" ht="20.25" customHeight="1" x14ac:dyDescent="0.45">
      <c r="A991" s="26"/>
      <c r="B991" s="28">
        <v>1</v>
      </c>
      <c r="C991" s="27">
        <v>0.318</v>
      </c>
      <c r="D991" s="27">
        <v>71.703999999999994</v>
      </c>
      <c r="E991" s="27">
        <v>56</v>
      </c>
      <c r="F991" s="27">
        <v>88.341999999999999</v>
      </c>
      <c r="G991" s="27">
        <v>112.834</v>
      </c>
      <c r="H991" s="27">
        <v>2.4769999999999999</v>
      </c>
      <c r="T991" s="27">
        <v>1</v>
      </c>
      <c r="U991" s="27">
        <v>0.46200000000000002</v>
      </c>
      <c r="V991" s="27">
        <v>54.223999999999997</v>
      </c>
      <c r="W991" s="27">
        <v>17.488</v>
      </c>
      <c r="X991" s="27">
        <v>120.39100000000001</v>
      </c>
      <c r="Y991" s="27">
        <v>-20.771999999999998</v>
      </c>
      <c r="Z991" s="27">
        <v>3.726</v>
      </c>
    </row>
    <row r="992" spans="1:26" s="27" customFormat="1" ht="20.25" customHeight="1" x14ac:dyDescent="0.45">
      <c r="A992" s="26"/>
      <c r="B992" s="28"/>
      <c r="C992" s="27">
        <v>0</v>
      </c>
      <c r="D992" s="27">
        <v>0</v>
      </c>
      <c r="E992" s="27">
        <v>0</v>
      </c>
      <c r="F992" s="27">
        <v>0</v>
      </c>
      <c r="G992" s="27">
        <v>111.801</v>
      </c>
      <c r="H992" s="27">
        <v>0</v>
      </c>
      <c r="T992" s="29"/>
      <c r="U992" s="27">
        <v>0</v>
      </c>
      <c r="V992" s="27">
        <v>0</v>
      </c>
      <c r="W992" s="27">
        <v>0</v>
      </c>
      <c r="X992" s="27">
        <v>0</v>
      </c>
      <c r="Y992" s="27">
        <v>172.393</v>
      </c>
      <c r="Z992" s="27">
        <v>0</v>
      </c>
    </row>
    <row r="993" spans="1:26" s="27" customFormat="1" ht="20.25" customHeight="1" x14ac:dyDescent="0.45">
      <c r="A993" s="26"/>
      <c r="B993" s="28"/>
      <c r="C993" s="27" t="s">
        <v>126</v>
      </c>
      <c r="D993" s="27">
        <v>4</v>
      </c>
      <c r="T993" s="29"/>
      <c r="U993" s="27">
        <v>0.40400000000000003</v>
      </c>
      <c r="V993" s="27">
        <v>59.198</v>
      </c>
      <c r="W993" s="27">
        <v>28</v>
      </c>
      <c r="X993" s="27">
        <v>106</v>
      </c>
      <c r="Y993" s="27">
        <v>-2.121</v>
      </c>
      <c r="Z993" s="27">
        <v>3.246</v>
      </c>
    </row>
    <row r="994" spans="1:26" s="27" customFormat="1" ht="20.25" customHeight="1" x14ac:dyDescent="0.45">
      <c r="A994" s="26">
        <v>7</v>
      </c>
      <c r="B994" s="28">
        <v>1</v>
      </c>
      <c r="C994" s="27">
        <v>0.52</v>
      </c>
      <c r="D994" s="27">
        <v>10.653</v>
      </c>
      <c r="E994" s="27">
        <v>4.6669999999999998</v>
      </c>
      <c r="F994" s="27">
        <v>18.751000000000001</v>
      </c>
      <c r="G994" s="27">
        <v>131.49600000000001</v>
      </c>
      <c r="H994" s="27">
        <v>4.2240000000000002</v>
      </c>
      <c r="T994" s="29"/>
      <c r="U994" s="27">
        <v>0</v>
      </c>
      <c r="V994" s="27">
        <v>0</v>
      </c>
      <c r="W994" s="27">
        <v>0</v>
      </c>
      <c r="X994" s="27">
        <v>0</v>
      </c>
      <c r="Y994" s="27">
        <v>166.14500000000001</v>
      </c>
      <c r="Z994" s="27">
        <v>0</v>
      </c>
    </row>
    <row r="995" spans="1:26" s="27" customFormat="1" ht="20.25" customHeight="1" x14ac:dyDescent="0.45">
      <c r="A995" s="26"/>
      <c r="B995" s="28"/>
      <c r="C995" s="27">
        <v>0</v>
      </c>
      <c r="D995" s="27">
        <v>0</v>
      </c>
      <c r="E995" s="27">
        <v>0</v>
      </c>
      <c r="F995" s="27">
        <v>0</v>
      </c>
      <c r="G995" s="27">
        <v>20.198</v>
      </c>
      <c r="H995" s="27">
        <v>4.2240000000000002</v>
      </c>
      <c r="T995" s="27">
        <v>1</v>
      </c>
      <c r="U995" s="27">
        <v>0.33200000000000002</v>
      </c>
      <c r="V995" s="27">
        <v>38.843000000000004</v>
      </c>
      <c r="W995" s="27">
        <v>23.161000000000001</v>
      </c>
      <c r="X995" s="27">
        <v>70</v>
      </c>
      <c r="Y995" s="27">
        <v>-20.853999999999999</v>
      </c>
      <c r="Z995" s="27">
        <v>2.7</v>
      </c>
    </row>
    <row r="996" spans="1:26" s="27" customFormat="1" ht="20.25" customHeight="1" x14ac:dyDescent="0.45">
      <c r="A996" s="26"/>
      <c r="B996" s="28"/>
      <c r="C996" s="27">
        <v>0.318</v>
      </c>
      <c r="D996" s="27">
        <v>7.1059999999999999</v>
      </c>
      <c r="E996" s="27">
        <v>2.952</v>
      </c>
      <c r="F996" s="27">
        <v>12</v>
      </c>
      <c r="G996" s="27">
        <v>2.726</v>
      </c>
      <c r="H996" s="27">
        <v>2.5259999999999998</v>
      </c>
      <c r="T996" s="29"/>
      <c r="U996" s="27">
        <v>0</v>
      </c>
      <c r="V996" s="27">
        <v>0</v>
      </c>
      <c r="W996" s="27">
        <v>0</v>
      </c>
      <c r="X996" s="27">
        <v>0</v>
      </c>
      <c r="Y996" s="27">
        <v>146.31</v>
      </c>
      <c r="Z996" s="27">
        <v>0</v>
      </c>
    </row>
    <row r="997" spans="1:26" s="27" customFormat="1" ht="20.25" customHeight="1" x14ac:dyDescent="0.45">
      <c r="A997" s="26"/>
      <c r="B997" s="28"/>
      <c r="C997" s="27">
        <v>0</v>
      </c>
      <c r="D997" s="27">
        <v>0</v>
      </c>
      <c r="E997" s="27">
        <v>0</v>
      </c>
      <c r="F997" s="27">
        <v>0</v>
      </c>
      <c r="G997" s="27">
        <v>138.37</v>
      </c>
      <c r="H997" s="27">
        <v>0</v>
      </c>
      <c r="N997" s="27" t="s">
        <v>123</v>
      </c>
      <c r="O997" s="27">
        <v>3</v>
      </c>
    </row>
    <row r="998" spans="1:26" s="27" customFormat="1" ht="20.25" customHeight="1" x14ac:dyDescent="0.45">
      <c r="A998" s="26"/>
      <c r="B998" s="28">
        <v>1</v>
      </c>
      <c r="C998" s="27">
        <v>0.47599999999999998</v>
      </c>
      <c r="D998" s="27">
        <v>11.72</v>
      </c>
      <c r="E998" s="27">
        <v>2.375</v>
      </c>
      <c r="F998" s="27">
        <v>40.43</v>
      </c>
      <c r="G998" s="27">
        <v>-20.135999999999999</v>
      </c>
      <c r="H998" s="27">
        <v>3.839</v>
      </c>
      <c r="L998" s="27">
        <v>6</v>
      </c>
      <c r="T998" s="33">
        <v>1</v>
      </c>
      <c r="U998" s="27">
        <v>0.52</v>
      </c>
      <c r="V998" s="27">
        <v>34.273000000000003</v>
      </c>
      <c r="W998" s="27">
        <v>21.509</v>
      </c>
      <c r="X998" s="27">
        <v>67</v>
      </c>
      <c r="Y998" s="27">
        <v>28.74</v>
      </c>
      <c r="Z998" s="27">
        <v>4.2480000000000002</v>
      </c>
    </row>
    <row r="999" spans="1:26" s="27" customFormat="1" ht="20.25" customHeight="1" x14ac:dyDescent="0.45">
      <c r="A999" s="26"/>
      <c r="B999" s="28"/>
      <c r="C999" s="27">
        <v>0</v>
      </c>
      <c r="D999" s="27">
        <v>0</v>
      </c>
      <c r="E999" s="27">
        <v>0</v>
      </c>
      <c r="F999" s="27">
        <v>0</v>
      </c>
      <c r="G999" s="27">
        <v>42.93</v>
      </c>
      <c r="H999" s="27">
        <v>3.839</v>
      </c>
      <c r="T999" s="29"/>
      <c r="U999" s="27">
        <v>0</v>
      </c>
      <c r="V999" s="27">
        <v>0</v>
      </c>
      <c r="W999" s="27">
        <v>0</v>
      </c>
      <c r="X999" s="27">
        <v>0</v>
      </c>
      <c r="Y999" s="27">
        <v>117.247</v>
      </c>
      <c r="Z999" s="27">
        <v>4.2480000000000002</v>
      </c>
    </row>
    <row r="1000" spans="1:26" s="27" customFormat="1" ht="20.25" customHeight="1" x14ac:dyDescent="0.45">
      <c r="A1000" s="26"/>
      <c r="B1000" s="28"/>
      <c r="C1000" s="27">
        <v>0.30299999999999999</v>
      </c>
      <c r="D1000" s="27">
        <v>6.4379999999999997</v>
      </c>
      <c r="E1000" s="27">
        <v>5</v>
      </c>
      <c r="F1000" s="27">
        <v>7.6</v>
      </c>
      <c r="G1000" s="27">
        <v>-174.28899999999999</v>
      </c>
      <c r="H1000" s="27">
        <v>2.415</v>
      </c>
      <c r="L1000" s="27">
        <v>7</v>
      </c>
      <c r="M1000" s="27">
        <v>1</v>
      </c>
      <c r="N1000" s="27">
        <v>0.67800000000000005</v>
      </c>
      <c r="O1000" s="27">
        <v>54.24</v>
      </c>
      <c r="P1000" s="27">
        <v>1.1459999999999999</v>
      </c>
      <c r="Q1000" s="27">
        <v>160</v>
      </c>
      <c r="R1000" s="27">
        <v>-132.357</v>
      </c>
      <c r="S1000" s="27">
        <v>5.5279999999999996</v>
      </c>
    </row>
    <row r="1001" spans="1:26" s="27" customFormat="1" ht="20.25" customHeight="1" x14ac:dyDescent="0.45">
      <c r="A1001" s="26"/>
      <c r="B1001" s="28"/>
      <c r="C1001" s="27">
        <v>0</v>
      </c>
      <c r="D1001" s="27">
        <v>0</v>
      </c>
      <c r="E1001" s="27">
        <v>0</v>
      </c>
      <c r="F1001" s="27">
        <v>0</v>
      </c>
      <c r="G1001" s="27">
        <v>101.523</v>
      </c>
      <c r="H1001" s="27">
        <v>3.839</v>
      </c>
      <c r="M1001" s="29"/>
      <c r="N1001" s="27">
        <v>0</v>
      </c>
      <c r="O1001" s="27">
        <v>0</v>
      </c>
      <c r="P1001" s="27">
        <v>0</v>
      </c>
      <c r="Q1001" s="27">
        <v>0</v>
      </c>
      <c r="R1001" s="27">
        <v>1.181</v>
      </c>
      <c r="S1001" s="27">
        <v>0</v>
      </c>
    </row>
    <row r="1002" spans="1:26" s="27" customFormat="1" ht="20.25" customHeight="1" x14ac:dyDescent="0.45">
      <c r="A1002" s="26"/>
      <c r="B1002" s="28"/>
      <c r="E1002" s="27">
        <v>1</v>
      </c>
      <c r="F1002" s="27">
        <v>0.751</v>
      </c>
      <c r="G1002" s="27">
        <v>1.7210000000000001</v>
      </c>
      <c r="H1002" s="27">
        <v>1</v>
      </c>
      <c r="I1002" s="27">
        <v>3.6669999999999998</v>
      </c>
      <c r="J1002" s="27">
        <v>-20.556000000000001</v>
      </c>
      <c r="K1002" s="27">
        <v>6.1310000000000002</v>
      </c>
      <c r="N1002" s="27" t="s">
        <v>123</v>
      </c>
      <c r="O1002" s="27">
        <v>4</v>
      </c>
    </row>
    <row r="1003" spans="1:26" s="27" customFormat="1" ht="20.25" customHeight="1" x14ac:dyDescent="0.45">
      <c r="A1003" s="26"/>
      <c r="B1003" s="28"/>
      <c r="E1003" s="29"/>
      <c r="F1003" s="27">
        <v>0</v>
      </c>
      <c r="G1003" s="27">
        <v>0</v>
      </c>
      <c r="H1003" s="27">
        <v>0</v>
      </c>
      <c r="I1003" s="27">
        <v>0</v>
      </c>
      <c r="J1003" s="27">
        <v>155.63800000000001</v>
      </c>
      <c r="K1003" s="27">
        <v>6.1310000000000002</v>
      </c>
      <c r="L1003" s="27">
        <v>8</v>
      </c>
      <c r="T1003" s="27">
        <v>1</v>
      </c>
      <c r="U1003" s="27">
        <v>0.318</v>
      </c>
      <c r="V1003" s="27">
        <v>25.815000000000001</v>
      </c>
      <c r="W1003" s="27">
        <v>18</v>
      </c>
      <c r="X1003" s="27">
        <v>31.449000000000002</v>
      </c>
      <c r="Y1003" s="27">
        <v>-121.43</v>
      </c>
      <c r="Z1003" s="27">
        <v>2.5339999999999998</v>
      </c>
    </row>
    <row r="1004" spans="1:26" s="27" customFormat="1" ht="20.25" customHeight="1" x14ac:dyDescent="0.45">
      <c r="A1004" s="26"/>
      <c r="B1004" s="28"/>
      <c r="E1004" s="29"/>
      <c r="F1004" s="27">
        <v>0.27400000000000002</v>
      </c>
      <c r="G1004" s="27">
        <v>4.09</v>
      </c>
      <c r="H1004" s="27">
        <v>2</v>
      </c>
      <c r="I1004" s="27">
        <v>6.5</v>
      </c>
      <c r="J1004" s="27">
        <v>42.709000000000003</v>
      </c>
      <c r="K1004" s="27">
        <v>2.125</v>
      </c>
      <c r="T1004" s="29"/>
      <c r="U1004" s="27">
        <v>0</v>
      </c>
      <c r="V1004" s="27">
        <v>0</v>
      </c>
      <c r="W1004" s="27">
        <v>0</v>
      </c>
      <c r="X1004" s="27">
        <v>0</v>
      </c>
      <c r="Y1004" s="27">
        <v>119.959</v>
      </c>
      <c r="Z1004" s="27">
        <v>0</v>
      </c>
    </row>
    <row r="1005" spans="1:26" s="27" customFormat="1" ht="20.25" customHeight="1" x14ac:dyDescent="0.45">
      <c r="A1005" s="26"/>
      <c r="B1005" s="28"/>
      <c r="E1005" s="29"/>
      <c r="F1005" s="27">
        <v>0</v>
      </c>
      <c r="G1005" s="27">
        <v>0</v>
      </c>
      <c r="H1005" s="27">
        <v>0</v>
      </c>
      <c r="I1005" s="27">
        <v>0</v>
      </c>
      <c r="J1005" s="27">
        <v>93.707999999999998</v>
      </c>
      <c r="K1005" s="27">
        <v>0</v>
      </c>
      <c r="T1005" s="27">
        <v>1</v>
      </c>
      <c r="U1005" s="27">
        <v>0.41899999999999998</v>
      </c>
      <c r="V1005" s="27">
        <v>25.597000000000001</v>
      </c>
      <c r="W1005" s="27">
        <v>18.98</v>
      </c>
      <c r="X1005" s="27">
        <v>37.326999999999998</v>
      </c>
      <c r="Y1005" s="27">
        <v>-147.995</v>
      </c>
      <c r="Z1005" s="27">
        <v>3.4</v>
      </c>
    </row>
    <row r="1006" spans="1:26" s="27" customFormat="1" ht="20.25" customHeight="1" x14ac:dyDescent="0.45">
      <c r="A1006" s="26"/>
      <c r="B1006" s="28"/>
      <c r="D1006" s="27">
        <v>23</v>
      </c>
      <c r="E1006" s="27">
        <v>1</v>
      </c>
      <c r="F1006" s="27">
        <v>0.63500000000000001</v>
      </c>
      <c r="G1006" s="27">
        <v>6.5890000000000004</v>
      </c>
      <c r="H1006" s="27">
        <v>1.996</v>
      </c>
      <c r="I1006" s="27">
        <v>22.911999999999999</v>
      </c>
      <c r="J1006" s="27">
        <v>39.289000000000001</v>
      </c>
      <c r="K1006" s="27">
        <v>5.1219999999999999</v>
      </c>
      <c r="T1006" s="29"/>
      <c r="U1006" s="27">
        <v>0</v>
      </c>
      <c r="V1006" s="27">
        <v>0</v>
      </c>
      <c r="W1006" s="27">
        <v>0</v>
      </c>
      <c r="X1006" s="27">
        <v>0</v>
      </c>
      <c r="Y1006" s="27">
        <v>127.586</v>
      </c>
      <c r="Z1006" s="27">
        <v>0</v>
      </c>
    </row>
    <row r="1007" spans="1:26" s="27" customFormat="1" ht="20.25" customHeight="1" x14ac:dyDescent="0.45">
      <c r="A1007" s="26"/>
      <c r="B1007" s="28"/>
      <c r="E1007" s="29"/>
      <c r="F1007" s="27">
        <v>0</v>
      </c>
      <c r="G1007" s="27">
        <v>0</v>
      </c>
      <c r="H1007" s="27">
        <v>0</v>
      </c>
      <c r="I1007" s="27">
        <v>0</v>
      </c>
      <c r="J1007" s="27">
        <v>90.47</v>
      </c>
      <c r="K1007" s="27">
        <v>0</v>
      </c>
      <c r="T1007" s="27">
        <v>1</v>
      </c>
      <c r="U1007" s="27">
        <v>0.41899999999999998</v>
      </c>
      <c r="V1007" s="27">
        <v>6.0369999999999999</v>
      </c>
      <c r="W1007" s="27">
        <v>3.25</v>
      </c>
      <c r="X1007" s="27">
        <v>8.4109999999999996</v>
      </c>
      <c r="Y1007" s="27">
        <v>47.862000000000002</v>
      </c>
      <c r="Z1007" s="27">
        <v>3.4020000000000001</v>
      </c>
    </row>
    <row r="1008" spans="1:26" s="27" customFormat="1" ht="20.25" customHeight="1" x14ac:dyDescent="0.45">
      <c r="A1008" s="26"/>
      <c r="B1008" s="28"/>
      <c r="E1008" s="29"/>
      <c r="F1008" s="27">
        <v>0.318</v>
      </c>
      <c r="G1008" s="27">
        <v>3.798</v>
      </c>
      <c r="H1008" s="27">
        <v>1.1679999999999999</v>
      </c>
      <c r="I1008" s="27">
        <v>7.524</v>
      </c>
      <c r="J1008" s="27">
        <v>-120.069</v>
      </c>
      <c r="K1008" s="27">
        <v>2.5830000000000002</v>
      </c>
      <c r="T1008" s="29"/>
      <c r="U1008" s="27">
        <v>0</v>
      </c>
      <c r="V1008" s="27">
        <v>0</v>
      </c>
      <c r="W1008" s="27">
        <v>0</v>
      </c>
      <c r="X1008" s="27">
        <v>0</v>
      </c>
      <c r="Y1008" s="27">
        <v>98.972999999999999</v>
      </c>
      <c r="Z1008" s="27">
        <v>0</v>
      </c>
    </row>
    <row r="1009" spans="1:26" s="27" customFormat="1" ht="20.25" customHeight="1" x14ac:dyDescent="0.45">
      <c r="A1009" s="26"/>
      <c r="B1009" s="28"/>
      <c r="E1009" s="29"/>
      <c r="F1009" s="27">
        <v>0</v>
      </c>
      <c r="G1009" s="27">
        <v>0</v>
      </c>
      <c r="H1009" s="27">
        <v>0</v>
      </c>
      <c r="I1009" s="27">
        <v>0</v>
      </c>
      <c r="J1009" s="27">
        <v>93.564999999999998</v>
      </c>
      <c r="K1009" s="27">
        <v>0</v>
      </c>
      <c r="M1009" s="27">
        <v>1</v>
      </c>
      <c r="N1009" s="27">
        <v>0.52</v>
      </c>
      <c r="O1009" s="27">
        <v>7.3529999999999998</v>
      </c>
      <c r="P1009" s="27">
        <v>3.952</v>
      </c>
      <c r="Q1009" s="27">
        <v>12.444000000000001</v>
      </c>
      <c r="R1009" s="27">
        <v>117.3</v>
      </c>
      <c r="S1009" s="27">
        <v>4.2270000000000003</v>
      </c>
    </row>
    <row r="1010" spans="1:26" s="27" customFormat="1" ht="20.25" customHeight="1" x14ac:dyDescent="0.45">
      <c r="A1010" s="26"/>
      <c r="B1010" s="28"/>
      <c r="E1010" s="27">
        <v>1</v>
      </c>
      <c r="F1010" s="27">
        <v>0.72199999999999998</v>
      </c>
      <c r="G1010" s="27">
        <v>4.33</v>
      </c>
      <c r="H1010" s="27">
        <v>1</v>
      </c>
      <c r="I1010" s="27">
        <v>10.423</v>
      </c>
      <c r="J1010" s="27">
        <v>-31.759</v>
      </c>
      <c r="K1010" s="27">
        <v>5.9340000000000002</v>
      </c>
      <c r="M1010" s="29"/>
      <c r="N1010" s="27">
        <v>0</v>
      </c>
      <c r="O1010" s="27">
        <v>0</v>
      </c>
      <c r="P1010" s="27">
        <v>0</v>
      </c>
      <c r="Q1010" s="27">
        <v>0</v>
      </c>
      <c r="R1010" s="27">
        <v>25.138999999999999</v>
      </c>
      <c r="S1010" s="27">
        <v>0</v>
      </c>
    </row>
    <row r="1011" spans="1:26" s="27" customFormat="1" ht="20.25" customHeight="1" x14ac:dyDescent="0.45">
      <c r="A1011" s="26"/>
      <c r="B1011" s="28"/>
      <c r="E1011" s="29"/>
      <c r="F1011" s="27">
        <v>0</v>
      </c>
      <c r="G1011" s="27">
        <v>0</v>
      </c>
      <c r="H1011" s="27">
        <v>0</v>
      </c>
      <c r="I1011" s="27">
        <v>0</v>
      </c>
      <c r="J1011" s="27">
        <v>172.00800000000001</v>
      </c>
      <c r="K1011" s="27">
        <v>0</v>
      </c>
      <c r="T1011" s="27">
        <v>1</v>
      </c>
      <c r="U1011" s="27">
        <v>0.34599999999999997</v>
      </c>
      <c r="V1011" s="27">
        <v>20.555</v>
      </c>
      <c r="W1011" s="27">
        <v>15</v>
      </c>
      <c r="X1011" s="27">
        <v>26.89</v>
      </c>
      <c r="Y1011" s="27">
        <v>64.537000000000006</v>
      </c>
      <c r="Z1011" s="27">
        <v>2.794</v>
      </c>
    </row>
    <row r="1012" spans="1:26" s="27" customFormat="1" ht="20.25" customHeight="1" x14ac:dyDescent="0.45">
      <c r="A1012" s="26"/>
      <c r="B1012" s="28"/>
      <c r="E1012" s="27">
        <v>1</v>
      </c>
      <c r="F1012" s="27">
        <v>0.72199999999999998</v>
      </c>
      <c r="G1012" s="27">
        <v>4.33</v>
      </c>
      <c r="H1012" s="27">
        <v>1</v>
      </c>
      <c r="I1012" s="27">
        <v>10.423</v>
      </c>
      <c r="J1012" s="27">
        <v>-31.759</v>
      </c>
      <c r="K1012" s="27">
        <v>5.9340000000000002</v>
      </c>
      <c r="T1012" s="29"/>
      <c r="U1012" s="27">
        <v>0</v>
      </c>
      <c r="V1012" s="27">
        <v>0</v>
      </c>
      <c r="W1012" s="27">
        <v>0</v>
      </c>
      <c r="X1012" s="27">
        <v>0</v>
      </c>
      <c r="Y1012" s="27">
        <v>169.59299999999999</v>
      </c>
      <c r="Z1012" s="27">
        <v>0</v>
      </c>
    </row>
    <row r="1013" spans="1:26" s="27" customFormat="1" ht="20.25" customHeight="1" x14ac:dyDescent="0.45">
      <c r="A1013" s="26"/>
      <c r="B1013" s="28"/>
      <c r="E1013" s="29"/>
      <c r="F1013" s="27">
        <v>0</v>
      </c>
      <c r="G1013" s="27">
        <v>0</v>
      </c>
      <c r="H1013" s="27">
        <v>0</v>
      </c>
      <c r="I1013" s="27">
        <v>0</v>
      </c>
      <c r="J1013" s="27">
        <v>172.00800000000001</v>
      </c>
      <c r="K1013" s="27">
        <v>0</v>
      </c>
      <c r="T1013" s="29"/>
      <c r="U1013" s="27">
        <v>0.318</v>
      </c>
      <c r="V1013" s="27">
        <v>19.358000000000001</v>
      </c>
      <c r="W1013" s="27">
        <v>15</v>
      </c>
      <c r="X1013" s="27">
        <v>24.667000000000002</v>
      </c>
      <c r="Y1013" s="27">
        <v>27.759</v>
      </c>
      <c r="Z1013" s="27">
        <v>2.544</v>
      </c>
    </row>
    <row r="1014" spans="1:26" s="27" customFormat="1" ht="20.25" customHeight="1" x14ac:dyDescent="0.45">
      <c r="A1014" s="26"/>
      <c r="B1014" s="28"/>
      <c r="C1014" s="27" t="s">
        <v>126</v>
      </c>
      <c r="D1014" s="27">
        <v>8</v>
      </c>
      <c r="T1014" s="29"/>
      <c r="U1014" s="27">
        <v>0</v>
      </c>
      <c r="V1014" s="27">
        <v>0</v>
      </c>
      <c r="W1014" s="27">
        <v>0</v>
      </c>
      <c r="X1014" s="27">
        <v>0</v>
      </c>
      <c r="Y1014" s="27">
        <v>149.90899999999999</v>
      </c>
      <c r="Z1014" s="27">
        <v>0</v>
      </c>
    </row>
    <row r="1015" spans="1:26" s="27" customFormat="1" ht="20.25" customHeight="1" x14ac:dyDescent="0.45">
      <c r="A1015" s="26">
        <v>8</v>
      </c>
      <c r="B1015" s="28"/>
      <c r="E1015" s="27">
        <v>1</v>
      </c>
      <c r="F1015" s="27">
        <v>0.63500000000000001</v>
      </c>
      <c r="G1015" s="27">
        <v>6.2409999999999997</v>
      </c>
      <c r="H1015" s="27">
        <v>2</v>
      </c>
      <c r="I1015" s="27">
        <v>12.395</v>
      </c>
      <c r="J1015" s="27">
        <v>3.9910000000000001</v>
      </c>
      <c r="K1015" s="27">
        <v>5.1779999999999999</v>
      </c>
      <c r="N1015" s="27" t="s">
        <v>123</v>
      </c>
      <c r="O1015" s="27">
        <v>2</v>
      </c>
    </row>
    <row r="1016" spans="1:26" s="27" customFormat="1" ht="20.25" customHeight="1" x14ac:dyDescent="0.45">
      <c r="A1016" s="26"/>
      <c r="B1016" s="28"/>
      <c r="E1016" s="29"/>
      <c r="F1016" s="27">
        <v>0</v>
      </c>
      <c r="G1016" s="27">
        <v>0</v>
      </c>
      <c r="H1016" s="27">
        <v>0</v>
      </c>
      <c r="I1016" s="27">
        <v>0</v>
      </c>
      <c r="J1016" s="27">
        <v>75.680000000000007</v>
      </c>
      <c r="K1016" s="27">
        <v>0</v>
      </c>
      <c r="L1016" s="34">
        <v>41030</v>
      </c>
      <c r="T1016" s="27">
        <v>1</v>
      </c>
      <c r="U1016" s="27">
        <v>0.54800000000000004</v>
      </c>
      <c r="V1016" s="27">
        <v>23.009</v>
      </c>
      <c r="W1016" s="27">
        <v>18</v>
      </c>
      <c r="X1016" s="27">
        <v>30</v>
      </c>
      <c r="Y1016" s="27">
        <v>-93.093999999999994</v>
      </c>
      <c r="Z1016" s="27">
        <v>4.452</v>
      </c>
    </row>
    <row r="1017" spans="1:26" s="27" customFormat="1" ht="20.25" customHeight="1" x14ac:dyDescent="0.45">
      <c r="A1017" s="26"/>
      <c r="B1017" s="28"/>
      <c r="E1017" s="29"/>
      <c r="F1017" s="27">
        <v>0.39</v>
      </c>
      <c r="G1017" s="27">
        <v>5.0289999999999999</v>
      </c>
      <c r="H1017" s="27">
        <v>2</v>
      </c>
      <c r="I1017" s="27">
        <v>8.0869999999999997</v>
      </c>
      <c r="J1017" s="27">
        <v>164.358</v>
      </c>
      <c r="K1017" s="27">
        <v>3.1190000000000002</v>
      </c>
      <c r="T1017" s="29"/>
      <c r="U1017" s="27">
        <v>0</v>
      </c>
      <c r="V1017" s="27">
        <v>0</v>
      </c>
      <c r="W1017" s="27">
        <v>0</v>
      </c>
      <c r="X1017" s="27">
        <v>0</v>
      </c>
      <c r="Y1017" s="27">
        <v>177.81700000000001</v>
      </c>
      <c r="Z1017" s="27">
        <v>0</v>
      </c>
    </row>
    <row r="1018" spans="1:26" s="27" customFormat="1" ht="20.25" customHeight="1" x14ac:dyDescent="0.45">
      <c r="A1018" s="26"/>
      <c r="B1018" s="28"/>
      <c r="E1018" s="29"/>
      <c r="F1018" s="27">
        <v>0</v>
      </c>
      <c r="G1018" s="27">
        <v>0</v>
      </c>
      <c r="H1018" s="27">
        <v>0</v>
      </c>
      <c r="I1018" s="27">
        <v>0</v>
      </c>
      <c r="J1018" s="27">
        <v>85.600999999999999</v>
      </c>
      <c r="K1018" s="27">
        <v>3.1190000000000002</v>
      </c>
      <c r="M1018" s="27">
        <v>1</v>
      </c>
      <c r="N1018" s="27">
        <v>0.26</v>
      </c>
      <c r="O1018" s="27">
        <v>19.02</v>
      </c>
      <c r="P1018" s="27">
        <v>14.772</v>
      </c>
      <c r="Q1018" s="27">
        <v>22.45</v>
      </c>
      <c r="R1018" s="27">
        <v>-118.072</v>
      </c>
      <c r="S1018" s="27">
        <v>2.0419999999999998</v>
      </c>
    </row>
    <row r="1019" spans="1:26" s="27" customFormat="1" ht="20.25" customHeight="1" x14ac:dyDescent="0.45">
      <c r="A1019" s="26"/>
      <c r="B1019" s="28"/>
      <c r="E1019" s="27">
        <v>1</v>
      </c>
      <c r="F1019" s="27">
        <v>0.66400000000000003</v>
      </c>
      <c r="G1019" s="27">
        <v>8.7230000000000008</v>
      </c>
      <c r="H1019" s="27">
        <v>2</v>
      </c>
      <c r="I1019" s="27">
        <v>12.778</v>
      </c>
      <c r="J1019" s="27">
        <v>106.821</v>
      </c>
      <c r="K1019" s="27">
        <v>5.3970000000000002</v>
      </c>
      <c r="M1019" s="29"/>
      <c r="N1019" s="27">
        <v>0</v>
      </c>
      <c r="O1019" s="27">
        <v>0</v>
      </c>
      <c r="P1019" s="27">
        <v>0</v>
      </c>
      <c r="Q1019" s="27">
        <v>0</v>
      </c>
      <c r="R1019" s="27">
        <v>147.25899999999999</v>
      </c>
      <c r="S1019" s="27">
        <v>0</v>
      </c>
    </row>
    <row r="1020" spans="1:26" s="27" customFormat="1" ht="20.25" customHeight="1" x14ac:dyDescent="0.45">
      <c r="A1020" s="26"/>
      <c r="B1020" s="28"/>
      <c r="E1020" s="29"/>
      <c r="F1020" s="27">
        <v>0</v>
      </c>
      <c r="G1020" s="27">
        <v>0</v>
      </c>
      <c r="H1020" s="27">
        <v>0</v>
      </c>
      <c r="I1020" s="27">
        <v>0</v>
      </c>
      <c r="J1020" s="27">
        <v>117.408</v>
      </c>
      <c r="K1020" s="27">
        <v>0</v>
      </c>
      <c r="M1020" s="29"/>
      <c r="N1020" s="27">
        <v>0.27400000000000002</v>
      </c>
      <c r="O1020" s="27">
        <v>11.345000000000001</v>
      </c>
      <c r="P1020" s="27">
        <v>5</v>
      </c>
      <c r="Q1020" s="27">
        <v>25</v>
      </c>
      <c r="R1020" s="27">
        <v>-6.34</v>
      </c>
      <c r="S1020" s="27">
        <v>2.1760000000000002</v>
      </c>
    </row>
    <row r="1021" spans="1:26" s="27" customFormat="1" ht="20.25" customHeight="1" x14ac:dyDescent="0.45">
      <c r="A1021" s="26"/>
      <c r="B1021" s="28"/>
      <c r="E1021" s="29"/>
      <c r="F1021" s="27">
        <v>0.44700000000000001</v>
      </c>
      <c r="G1021" s="27">
        <v>11.374000000000001</v>
      </c>
      <c r="H1021" s="27">
        <v>6</v>
      </c>
      <c r="I1021" s="27">
        <v>14.467000000000001</v>
      </c>
      <c r="J1021" s="27">
        <v>7.5949999999999998</v>
      </c>
      <c r="K1021" s="27">
        <v>3.6360000000000001</v>
      </c>
      <c r="M1021" s="29"/>
      <c r="N1021" s="27">
        <v>0</v>
      </c>
      <c r="O1021" s="27">
        <v>0</v>
      </c>
      <c r="P1021" s="27">
        <v>0</v>
      </c>
      <c r="Q1021" s="27">
        <v>0</v>
      </c>
      <c r="R1021" s="27">
        <v>74.326999999999998</v>
      </c>
      <c r="S1021" s="27">
        <v>0</v>
      </c>
    </row>
    <row r="1022" spans="1:26" s="27" customFormat="1" ht="20.25" customHeight="1" x14ac:dyDescent="0.45">
      <c r="A1022" s="26"/>
      <c r="B1022" s="28"/>
      <c r="E1022" s="29"/>
      <c r="F1022" s="27">
        <v>0</v>
      </c>
      <c r="G1022" s="27">
        <v>0</v>
      </c>
      <c r="H1022" s="27">
        <v>0</v>
      </c>
      <c r="I1022" s="27">
        <v>0</v>
      </c>
      <c r="J1022" s="27">
        <v>98.881</v>
      </c>
      <c r="K1022" s="27">
        <v>0</v>
      </c>
      <c r="T1022" s="27">
        <v>1</v>
      </c>
      <c r="U1022" s="27">
        <v>0.34599999999999997</v>
      </c>
      <c r="V1022" s="27">
        <v>26.350999999999999</v>
      </c>
      <c r="W1022" s="27">
        <v>18</v>
      </c>
      <c r="X1022" s="27">
        <v>45</v>
      </c>
      <c r="Y1022" s="27">
        <v>-80.134</v>
      </c>
      <c r="Z1022" s="27">
        <v>2.8050000000000002</v>
      </c>
    </row>
    <row r="1023" spans="1:26" s="27" customFormat="1" ht="20.25" customHeight="1" x14ac:dyDescent="0.45">
      <c r="A1023" s="26"/>
      <c r="B1023" s="28"/>
      <c r="E1023" s="27">
        <v>1</v>
      </c>
      <c r="F1023" s="27">
        <v>0.996</v>
      </c>
      <c r="G1023" s="27">
        <v>2.1880000000000002</v>
      </c>
      <c r="H1023" s="27">
        <v>0.438</v>
      </c>
      <c r="I1023" s="27">
        <v>4.3600000000000003</v>
      </c>
      <c r="J1023" s="27">
        <v>-79.019000000000005</v>
      </c>
      <c r="K1023" s="27">
        <v>8.1989999999999998</v>
      </c>
      <c r="T1023" s="29"/>
      <c r="U1023" s="27">
        <v>0</v>
      </c>
      <c r="V1023" s="27">
        <v>0</v>
      </c>
      <c r="W1023" s="27">
        <v>0</v>
      </c>
      <c r="X1023" s="27">
        <v>0</v>
      </c>
      <c r="Y1023" s="27">
        <v>153.80500000000001</v>
      </c>
      <c r="Z1023" s="27">
        <v>0</v>
      </c>
    </row>
    <row r="1024" spans="1:26" s="27" customFormat="1" ht="20.25" customHeight="1" x14ac:dyDescent="0.45">
      <c r="A1024" s="26"/>
      <c r="B1024" s="28"/>
      <c r="E1024" s="29"/>
      <c r="F1024" s="27">
        <v>0</v>
      </c>
      <c r="G1024" s="27">
        <v>0</v>
      </c>
      <c r="H1024" s="27">
        <v>0</v>
      </c>
      <c r="I1024" s="27">
        <v>0</v>
      </c>
      <c r="J1024" s="27">
        <v>101.709</v>
      </c>
      <c r="K1024" s="27">
        <v>0</v>
      </c>
      <c r="T1024" s="27">
        <v>1</v>
      </c>
      <c r="U1024" s="27">
        <v>1.01</v>
      </c>
      <c r="V1024" s="27">
        <v>21.727</v>
      </c>
      <c r="W1024" s="27">
        <v>4</v>
      </c>
      <c r="X1024" s="27">
        <v>58.735999999999997</v>
      </c>
      <c r="Y1024" s="27">
        <v>78.366</v>
      </c>
      <c r="Z1024" s="27">
        <v>8.3409999999999993</v>
      </c>
    </row>
    <row r="1025" spans="1:26" s="27" customFormat="1" ht="20.25" customHeight="1" x14ac:dyDescent="0.45">
      <c r="A1025" s="26"/>
      <c r="B1025" s="28"/>
      <c r="E1025" s="29"/>
      <c r="F1025" s="27">
        <v>0.69299999999999995</v>
      </c>
      <c r="G1025" s="27">
        <v>1.8149999999999999</v>
      </c>
      <c r="H1025" s="27">
        <v>1</v>
      </c>
      <c r="I1025" s="27">
        <v>3</v>
      </c>
      <c r="J1025" s="27">
        <v>-60.709000000000003</v>
      </c>
      <c r="K1025" s="27">
        <v>5.6710000000000003</v>
      </c>
      <c r="T1025" s="29"/>
      <c r="U1025" s="27">
        <v>0</v>
      </c>
      <c r="V1025" s="27">
        <v>0</v>
      </c>
      <c r="W1025" s="27">
        <v>0</v>
      </c>
      <c r="X1025" s="27">
        <v>0</v>
      </c>
      <c r="Y1025" s="27">
        <v>158.102</v>
      </c>
      <c r="Z1025" s="27">
        <v>0</v>
      </c>
    </row>
    <row r="1026" spans="1:26" s="27" customFormat="1" ht="20.25" customHeight="1" x14ac:dyDescent="0.45">
      <c r="A1026" s="26"/>
      <c r="B1026" s="28"/>
      <c r="E1026" s="29"/>
      <c r="F1026" s="27">
        <v>0</v>
      </c>
      <c r="G1026" s="27">
        <v>0</v>
      </c>
      <c r="H1026" s="27">
        <v>0</v>
      </c>
      <c r="I1026" s="27">
        <v>0</v>
      </c>
      <c r="J1026" s="27">
        <v>126.87</v>
      </c>
      <c r="K1026" s="27">
        <v>0</v>
      </c>
      <c r="T1026" s="27">
        <v>1</v>
      </c>
      <c r="U1026" s="27">
        <v>0.318</v>
      </c>
      <c r="V1026" s="27">
        <v>82.522999999999996</v>
      </c>
      <c r="W1026" s="27">
        <v>41.261000000000003</v>
      </c>
      <c r="X1026" s="27">
        <v>116.907</v>
      </c>
      <c r="Y1026" s="27">
        <v>165.964</v>
      </c>
      <c r="Z1026" s="27">
        <v>2.4769999999999999</v>
      </c>
    </row>
    <row r="1027" spans="1:26" s="27" customFormat="1" ht="20.25" customHeight="1" x14ac:dyDescent="0.45">
      <c r="A1027" s="26"/>
      <c r="B1027" s="28"/>
      <c r="E1027" s="27">
        <v>1</v>
      </c>
      <c r="F1027" s="27">
        <v>0.44700000000000001</v>
      </c>
      <c r="G1027" s="27">
        <v>7.7290000000000001</v>
      </c>
      <c r="H1027" s="27">
        <v>1.7869999999999999</v>
      </c>
      <c r="I1027" s="27">
        <v>13.884</v>
      </c>
      <c r="J1027" s="27">
        <v>-76.430000000000007</v>
      </c>
      <c r="K1027" s="27">
        <v>3.6419999999999999</v>
      </c>
      <c r="T1027" s="29"/>
      <c r="U1027" s="27">
        <v>0</v>
      </c>
      <c r="V1027" s="27">
        <v>0</v>
      </c>
      <c r="W1027" s="27">
        <v>0</v>
      </c>
      <c r="X1027" s="27">
        <v>0</v>
      </c>
      <c r="Y1027" s="27">
        <v>136.50399999999999</v>
      </c>
      <c r="Z1027" s="27">
        <v>0</v>
      </c>
    </row>
    <row r="1028" spans="1:26" s="27" customFormat="1" ht="20.25" customHeight="1" x14ac:dyDescent="0.45">
      <c r="A1028" s="26"/>
      <c r="B1028" s="28"/>
      <c r="E1028" s="29"/>
      <c r="F1028" s="27">
        <v>0</v>
      </c>
      <c r="G1028" s="27">
        <v>0</v>
      </c>
      <c r="H1028" s="27">
        <v>0</v>
      </c>
      <c r="I1028" s="27">
        <v>0</v>
      </c>
      <c r="J1028" s="27">
        <v>127.41</v>
      </c>
      <c r="K1028" s="27">
        <v>0</v>
      </c>
      <c r="N1028" s="27" t="s">
        <v>123</v>
      </c>
      <c r="O1028" s="27">
        <v>0</v>
      </c>
    </row>
    <row r="1029" spans="1:26" s="27" customFormat="1" ht="20.25" customHeight="1" x14ac:dyDescent="0.45">
      <c r="A1029" s="26"/>
      <c r="B1029" s="28"/>
      <c r="E1029" s="29"/>
      <c r="F1029" s="27">
        <v>0.46200000000000002</v>
      </c>
      <c r="G1029" s="27">
        <v>11.378</v>
      </c>
      <c r="H1029" s="27">
        <v>6</v>
      </c>
      <c r="I1029" s="27">
        <v>14.369</v>
      </c>
      <c r="J1029" s="27">
        <v>5.5279999999999996</v>
      </c>
      <c r="K1029" s="27">
        <v>3.6880000000000002</v>
      </c>
      <c r="L1029" s="34">
        <v>41031</v>
      </c>
      <c r="M1029" s="27">
        <v>1</v>
      </c>
      <c r="N1029" s="27">
        <v>0.505</v>
      </c>
      <c r="O1029" s="27">
        <v>67.867999999999995</v>
      </c>
      <c r="P1029" s="27">
        <v>20</v>
      </c>
      <c r="Q1029" s="27">
        <v>90.954999999999998</v>
      </c>
      <c r="R1029" s="27">
        <v>-157.249</v>
      </c>
      <c r="S1029" s="27">
        <v>4.0380000000000003</v>
      </c>
    </row>
    <row r="1030" spans="1:26" s="27" customFormat="1" ht="20.25" customHeight="1" x14ac:dyDescent="0.45">
      <c r="A1030" s="26"/>
      <c r="B1030" s="28"/>
      <c r="E1030" s="29"/>
      <c r="F1030" s="27">
        <v>0</v>
      </c>
      <c r="G1030" s="27">
        <v>0</v>
      </c>
      <c r="H1030" s="27">
        <v>0</v>
      </c>
      <c r="I1030" s="27">
        <v>0</v>
      </c>
      <c r="J1030" s="27">
        <v>80.789000000000001</v>
      </c>
      <c r="K1030" s="27">
        <v>0</v>
      </c>
      <c r="M1030" s="29"/>
      <c r="N1030" s="27">
        <v>0</v>
      </c>
      <c r="O1030" s="27">
        <v>0</v>
      </c>
      <c r="P1030" s="27">
        <v>0</v>
      </c>
      <c r="Q1030" s="27">
        <v>0</v>
      </c>
      <c r="R1030" s="27">
        <v>149.821</v>
      </c>
      <c r="S1030" s="27">
        <v>0</v>
      </c>
    </row>
    <row r="1031" spans="1:26" s="27" customFormat="1" ht="20.25" customHeight="1" x14ac:dyDescent="0.45">
      <c r="A1031" s="26"/>
      <c r="B1031" s="28">
        <v>1</v>
      </c>
      <c r="C1031" s="27">
        <v>0.46200000000000002</v>
      </c>
      <c r="D1031" s="27">
        <v>2.5720000000000001</v>
      </c>
      <c r="E1031" s="27">
        <v>1</v>
      </c>
      <c r="F1031" s="27">
        <v>5</v>
      </c>
      <c r="G1031" s="27">
        <v>1.8480000000000001</v>
      </c>
      <c r="H1031" s="27">
        <v>3.726</v>
      </c>
      <c r="T1031" s="27">
        <v>1</v>
      </c>
      <c r="U1031" s="27">
        <v>0.34599999999999997</v>
      </c>
      <c r="V1031" s="27">
        <v>115.92100000000001</v>
      </c>
      <c r="W1031" s="27">
        <v>59.628999999999998</v>
      </c>
      <c r="X1031" s="27">
        <v>166.79599999999999</v>
      </c>
      <c r="Y1031" s="27">
        <v>115.46299999999999</v>
      </c>
      <c r="Z1031" s="27">
        <v>2.794</v>
      </c>
    </row>
    <row r="1032" spans="1:26" s="27" customFormat="1" ht="20.25" customHeight="1" x14ac:dyDescent="0.45">
      <c r="A1032" s="26"/>
      <c r="B1032" s="28"/>
      <c r="C1032" s="27">
        <v>0</v>
      </c>
      <c r="D1032" s="27">
        <v>0</v>
      </c>
      <c r="E1032" s="27">
        <v>0</v>
      </c>
      <c r="F1032" s="27">
        <v>0</v>
      </c>
      <c r="G1032" s="27">
        <v>59.203000000000003</v>
      </c>
      <c r="H1032" s="27">
        <v>0</v>
      </c>
      <c r="T1032" s="29"/>
      <c r="U1032" s="27">
        <v>0</v>
      </c>
      <c r="V1032" s="27">
        <v>0</v>
      </c>
      <c r="W1032" s="27">
        <v>0</v>
      </c>
      <c r="X1032" s="27">
        <v>0</v>
      </c>
      <c r="Y1032" s="27">
        <v>121.557</v>
      </c>
      <c r="Z1032" s="27">
        <v>0</v>
      </c>
    </row>
    <row r="1033" spans="1:26" s="27" customFormat="1" ht="20.25" customHeight="1" x14ac:dyDescent="0.45">
      <c r="A1033" s="26"/>
      <c r="B1033" s="28"/>
      <c r="C1033" s="27" t="s">
        <v>126</v>
      </c>
      <c r="D1033" s="27">
        <v>4</v>
      </c>
      <c r="T1033" s="27">
        <v>1</v>
      </c>
      <c r="U1033" s="27">
        <v>0.27400000000000002</v>
      </c>
      <c r="V1033" s="27">
        <v>64.218999999999994</v>
      </c>
      <c r="W1033" s="27">
        <v>20.332999999999998</v>
      </c>
      <c r="X1033" s="27">
        <v>147.03700000000001</v>
      </c>
      <c r="Y1033" s="27">
        <v>146.31</v>
      </c>
      <c r="Z1033" s="27">
        <v>2.1659999999999999</v>
      </c>
    </row>
    <row r="1034" spans="1:26" s="27" customFormat="1" ht="20.25" customHeight="1" x14ac:dyDescent="0.45">
      <c r="A1034" s="26">
        <v>11</v>
      </c>
      <c r="B1034" s="28"/>
      <c r="E1034" s="27">
        <v>1</v>
      </c>
      <c r="F1034" s="27">
        <v>0.46200000000000002</v>
      </c>
      <c r="G1034" s="27">
        <v>2.5720000000000001</v>
      </c>
      <c r="H1034" s="27">
        <v>1</v>
      </c>
      <c r="I1034" s="27">
        <v>5</v>
      </c>
      <c r="J1034" s="27">
        <v>1.8480000000000001</v>
      </c>
      <c r="K1034" s="27">
        <v>3.726</v>
      </c>
      <c r="T1034" s="29"/>
      <c r="U1034" s="27">
        <v>0</v>
      </c>
      <c r="V1034" s="27">
        <v>0</v>
      </c>
      <c r="W1034" s="27">
        <v>0</v>
      </c>
      <c r="X1034" s="27">
        <v>0</v>
      </c>
      <c r="Y1034" s="27">
        <v>171.74100000000001</v>
      </c>
      <c r="Z1034" s="27">
        <v>2.1659999999999999</v>
      </c>
    </row>
    <row r="1035" spans="1:26" s="27" customFormat="1" ht="20.25" customHeight="1" x14ac:dyDescent="0.45">
      <c r="A1035" s="26"/>
      <c r="B1035" s="28"/>
      <c r="E1035" s="29"/>
      <c r="F1035" s="27">
        <v>0</v>
      </c>
      <c r="G1035" s="27">
        <v>0</v>
      </c>
      <c r="H1035" s="27">
        <v>0</v>
      </c>
      <c r="I1035" s="27">
        <v>0</v>
      </c>
      <c r="J1035" s="27">
        <v>59.203000000000003</v>
      </c>
      <c r="K1035" s="27">
        <v>0</v>
      </c>
      <c r="T1035" s="29"/>
      <c r="U1035" s="27">
        <v>0.375</v>
      </c>
      <c r="V1035" s="27">
        <v>90.034000000000006</v>
      </c>
      <c r="W1035" s="27">
        <v>63.88</v>
      </c>
      <c r="X1035" s="27">
        <v>131</v>
      </c>
      <c r="Y1035" s="27">
        <v>31.759</v>
      </c>
      <c r="Z1035" s="27">
        <v>2.9670000000000001</v>
      </c>
    </row>
    <row r="1036" spans="1:26" s="27" customFormat="1" ht="20.25" customHeight="1" x14ac:dyDescent="0.45">
      <c r="A1036" s="26"/>
      <c r="B1036" s="28"/>
      <c r="E1036" s="27">
        <v>1</v>
      </c>
      <c r="F1036" s="27">
        <v>0.49099999999999999</v>
      </c>
      <c r="G1036" s="27">
        <v>11.855</v>
      </c>
      <c r="H1036" s="27">
        <v>6.0519999999999996</v>
      </c>
      <c r="I1036" s="27">
        <v>17.106999999999999</v>
      </c>
      <c r="J1036" s="27">
        <v>-148.73599999999999</v>
      </c>
      <c r="K1036" s="27">
        <v>3.915</v>
      </c>
      <c r="T1036" s="29"/>
      <c r="U1036" s="27">
        <v>0</v>
      </c>
      <c r="V1036" s="27">
        <v>0</v>
      </c>
      <c r="W1036" s="27">
        <v>0</v>
      </c>
      <c r="X1036" s="27">
        <v>0</v>
      </c>
      <c r="Y1036" s="27">
        <v>39.957000000000001</v>
      </c>
      <c r="Z1036" s="27">
        <v>0</v>
      </c>
    </row>
    <row r="1037" spans="1:26" s="27" customFormat="1" ht="20.25" customHeight="1" x14ac:dyDescent="0.45">
      <c r="A1037" s="26"/>
      <c r="B1037" s="28"/>
      <c r="E1037" s="29"/>
      <c r="F1037" s="27">
        <v>0</v>
      </c>
      <c r="G1037" s="27">
        <v>0</v>
      </c>
      <c r="H1037" s="27">
        <v>0</v>
      </c>
      <c r="I1037" s="27">
        <v>0</v>
      </c>
      <c r="J1037" s="27">
        <v>9.1110000000000007</v>
      </c>
      <c r="K1037" s="27">
        <v>0</v>
      </c>
      <c r="T1037" s="27">
        <v>1</v>
      </c>
      <c r="U1037" s="27">
        <v>0.27400000000000002</v>
      </c>
      <c r="V1037" s="27">
        <v>2.52</v>
      </c>
      <c r="W1037" s="27">
        <v>1</v>
      </c>
      <c r="X1037" s="27">
        <v>4.8890000000000002</v>
      </c>
      <c r="Y1037" s="27">
        <v>-109.44</v>
      </c>
      <c r="Z1037" s="27">
        <v>2.1659999999999999</v>
      </c>
    </row>
    <row r="1038" spans="1:26" s="27" customFormat="1" ht="20.25" customHeight="1" x14ac:dyDescent="0.45">
      <c r="A1038" s="26"/>
      <c r="B1038" s="28"/>
      <c r="E1038" s="27">
        <v>1</v>
      </c>
      <c r="F1038" s="27">
        <v>1.371</v>
      </c>
      <c r="G1038" s="27">
        <v>3.7040000000000002</v>
      </c>
      <c r="H1038" s="27">
        <v>1.012</v>
      </c>
      <c r="I1038" s="27">
        <v>10.667</v>
      </c>
      <c r="J1038" s="27">
        <v>88.171999999999997</v>
      </c>
      <c r="K1038" s="27">
        <v>11.298</v>
      </c>
      <c r="T1038" s="29"/>
      <c r="U1038" s="27">
        <v>0</v>
      </c>
      <c r="V1038" s="27">
        <v>0</v>
      </c>
      <c r="W1038" s="27">
        <v>0</v>
      </c>
      <c r="X1038" s="27">
        <v>0</v>
      </c>
      <c r="Y1038" s="27">
        <v>158.078</v>
      </c>
      <c r="Z1038" s="27">
        <v>0</v>
      </c>
    </row>
    <row r="1039" spans="1:26" s="27" customFormat="1" ht="20.25" customHeight="1" x14ac:dyDescent="0.45">
      <c r="A1039" s="26"/>
      <c r="B1039" s="28"/>
      <c r="E1039" s="29"/>
      <c r="F1039" s="27">
        <v>0</v>
      </c>
      <c r="G1039" s="27">
        <v>0</v>
      </c>
      <c r="H1039" s="27">
        <v>0</v>
      </c>
      <c r="I1039" s="27">
        <v>0</v>
      </c>
      <c r="J1039" s="27">
        <v>144.36000000000001</v>
      </c>
      <c r="K1039" s="27">
        <v>0</v>
      </c>
      <c r="T1039" s="29"/>
      <c r="U1039" s="27">
        <v>0.27400000000000002</v>
      </c>
      <c r="V1039" s="27">
        <v>2.5979999999999999</v>
      </c>
      <c r="W1039" s="27">
        <v>1.0740000000000001</v>
      </c>
      <c r="X1039" s="27">
        <v>5.093</v>
      </c>
      <c r="Y1039" s="27">
        <v>-33.69</v>
      </c>
      <c r="Z1039" s="27">
        <v>2.1659999999999999</v>
      </c>
    </row>
    <row r="1040" spans="1:26" s="27" customFormat="1" ht="20.25" customHeight="1" x14ac:dyDescent="0.45">
      <c r="A1040" s="26"/>
      <c r="B1040" s="28">
        <v>1</v>
      </c>
      <c r="C1040" s="27">
        <v>0.318</v>
      </c>
      <c r="D1040" s="27">
        <v>2.5030000000000001</v>
      </c>
      <c r="E1040" s="27">
        <v>0</v>
      </c>
      <c r="F1040" s="27">
        <v>6.4039999999999999</v>
      </c>
      <c r="G1040" s="27">
        <v>140.90600000000001</v>
      </c>
      <c r="H1040" s="27">
        <v>2.4769999999999999</v>
      </c>
      <c r="T1040" s="29"/>
      <c r="U1040" s="27">
        <v>0</v>
      </c>
      <c r="V1040" s="27">
        <v>0</v>
      </c>
      <c r="W1040" s="27">
        <v>0</v>
      </c>
      <c r="X1040" s="27">
        <v>0</v>
      </c>
      <c r="Y1040" s="27">
        <v>92.344999999999999</v>
      </c>
      <c r="Z1040" s="27">
        <v>0</v>
      </c>
    </row>
    <row r="1041" spans="1:26" s="27" customFormat="1" ht="20.25" customHeight="1" x14ac:dyDescent="0.45">
      <c r="A1041" s="26"/>
      <c r="B1041" s="28"/>
      <c r="C1041" s="27">
        <v>0</v>
      </c>
      <c r="D1041" s="27">
        <v>0</v>
      </c>
      <c r="E1041" s="27">
        <v>0</v>
      </c>
      <c r="F1041" s="27">
        <v>0</v>
      </c>
      <c r="G1041" s="27">
        <v>71.823999999999998</v>
      </c>
      <c r="H1041" s="27">
        <v>0</v>
      </c>
      <c r="T1041" s="29"/>
      <c r="U1041" s="27">
        <v>0.34599999999999997</v>
      </c>
      <c r="V1041" s="27">
        <v>4.4509999999999996</v>
      </c>
      <c r="W1041" s="27">
        <v>2</v>
      </c>
      <c r="X1041" s="27">
        <v>7</v>
      </c>
      <c r="Y1041" s="27">
        <v>-172.56899999999999</v>
      </c>
      <c r="Z1041" s="27">
        <v>2.7869999999999999</v>
      </c>
    </row>
    <row r="1042" spans="1:26" s="27" customFormat="1" ht="20.25" customHeight="1" x14ac:dyDescent="0.45">
      <c r="A1042" s="26"/>
      <c r="B1042" s="28"/>
      <c r="C1042" s="27" t="s">
        <v>126</v>
      </c>
      <c r="D1042" s="27">
        <v>2</v>
      </c>
      <c r="T1042" s="29"/>
      <c r="U1042" s="27">
        <v>0</v>
      </c>
      <c r="V1042" s="27">
        <v>0</v>
      </c>
      <c r="W1042" s="27">
        <v>0</v>
      </c>
      <c r="X1042" s="27">
        <v>0</v>
      </c>
      <c r="Y1042" s="27">
        <v>97.813000000000002</v>
      </c>
      <c r="Z1042" s="27">
        <v>0</v>
      </c>
    </row>
    <row r="1043" spans="1:26" s="27" customFormat="1" ht="20.25" customHeight="1" x14ac:dyDescent="0.45">
      <c r="A1043" s="26">
        <v>12</v>
      </c>
      <c r="B1043" s="28"/>
      <c r="E1043" s="27">
        <v>1</v>
      </c>
      <c r="F1043" s="27">
        <v>0.39</v>
      </c>
      <c r="G1043" s="27">
        <v>9.1920000000000002</v>
      </c>
      <c r="H1043" s="27">
        <v>4</v>
      </c>
      <c r="I1043" s="27">
        <v>13.154</v>
      </c>
      <c r="J1043" s="27">
        <v>-62.447000000000003</v>
      </c>
      <c r="K1043" s="27">
        <v>3.117</v>
      </c>
      <c r="M1043" s="27">
        <v>1</v>
      </c>
      <c r="N1043" s="27">
        <v>0.63500000000000001</v>
      </c>
      <c r="O1043" s="27">
        <v>3.0179999999999998</v>
      </c>
      <c r="P1043" s="27">
        <v>1.1160000000000001</v>
      </c>
      <c r="Q1043" s="27">
        <v>7</v>
      </c>
      <c r="R1043" s="27">
        <v>-66.447999999999993</v>
      </c>
      <c r="S1043" s="27">
        <v>5.1109999999999998</v>
      </c>
    </row>
    <row r="1044" spans="1:26" s="27" customFormat="1" ht="20.25" customHeight="1" x14ac:dyDescent="0.45">
      <c r="A1044" s="26"/>
      <c r="B1044" s="28"/>
      <c r="E1044" s="29"/>
      <c r="F1044" s="27">
        <v>0</v>
      </c>
      <c r="G1044" s="27">
        <v>0</v>
      </c>
      <c r="H1044" s="27">
        <v>0</v>
      </c>
      <c r="I1044" s="27">
        <v>0</v>
      </c>
      <c r="J1044" s="27">
        <v>177.93600000000001</v>
      </c>
      <c r="K1044" s="27">
        <v>0</v>
      </c>
      <c r="M1044" s="29"/>
      <c r="N1044" s="27">
        <v>0</v>
      </c>
      <c r="O1044" s="27">
        <v>0</v>
      </c>
      <c r="P1044" s="27">
        <v>0</v>
      </c>
      <c r="Q1044" s="27">
        <v>0</v>
      </c>
      <c r="R1044" s="27">
        <v>69.623999999999995</v>
      </c>
      <c r="S1044" s="27">
        <v>0</v>
      </c>
    </row>
    <row r="1045" spans="1:26" s="27" customFormat="1" ht="20.25" customHeight="1" x14ac:dyDescent="0.45">
      <c r="A1045" s="26"/>
      <c r="B1045" s="28"/>
      <c r="E1045" s="27">
        <v>1</v>
      </c>
      <c r="F1045" s="27">
        <v>0.70699999999999996</v>
      </c>
      <c r="G1045" s="27">
        <v>17.196000000000002</v>
      </c>
      <c r="H1045" s="27">
        <v>10.365</v>
      </c>
      <c r="I1045" s="27">
        <v>29</v>
      </c>
      <c r="J1045" s="27">
        <v>118.706</v>
      </c>
      <c r="K1045" s="27">
        <v>5.7530000000000001</v>
      </c>
      <c r="N1045" s="27" t="s">
        <v>123</v>
      </c>
      <c r="O1045" s="27">
        <v>1</v>
      </c>
    </row>
    <row r="1046" spans="1:26" s="27" customFormat="1" ht="20.25" customHeight="1" x14ac:dyDescent="0.45">
      <c r="A1046" s="26"/>
      <c r="B1046" s="28"/>
      <c r="E1046" s="29"/>
      <c r="F1046" s="27">
        <v>0</v>
      </c>
      <c r="G1046" s="27">
        <v>0</v>
      </c>
      <c r="H1046" s="27">
        <v>0</v>
      </c>
      <c r="I1046" s="27">
        <v>0</v>
      </c>
      <c r="J1046" s="27">
        <v>80.352999999999994</v>
      </c>
      <c r="K1046" s="27">
        <v>0</v>
      </c>
      <c r="L1046" s="34">
        <v>41032</v>
      </c>
      <c r="T1046" s="27">
        <v>1</v>
      </c>
      <c r="U1046" s="27">
        <v>0.76500000000000001</v>
      </c>
      <c r="V1046" s="27">
        <v>19.052</v>
      </c>
      <c r="W1046" s="27">
        <v>2.327</v>
      </c>
      <c r="X1046" s="27">
        <v>38.615000000000002</v>
      </c>
      <c r="Y1046" s="27">
        <v>-174.50800000000001</v>
      </c>
      <c r="Z1046" s="27">
        <v>6.2759999999999998</v>
      </c>
    </row>
    <row r="1047" spans="1:26" s="27" customFormat="1" ht="20.25" customHeight="1" x14ac:dyDescent="0.45">
      <c r="A1047" s="26"/>
      <c r="B1047" s="28"/>
      <c r="E1047" s="29"/>
      <c r="F1047" s="27">
        <v>0.34599999999999997</v>
      </c>
      <c r="G1047" s="27">
        <v>19.370999999999999</v>
      </c>
      <c r="H1047" s="27">
        <v>16.503</v>
      </c>
      <c r="I1047" s="27">
        <v>24.074000000000002</v>
      </c>
      <c r="J1047" s="27">
        <v>-61.189</v>
      </c>
      <c r="K1047" s="27">
        <v>2.742</v>
      </c>
      <c r="T1047" s="29"/>
      <c r="U1047" s="27">
        <v>0</v>
      </c>
      <c r="V1047" s="27">
        <v>0</v>
      </c>
      <c r="W1047" s="27">
        <v>0</v>
      </c>
      <c r="X1047" s="27">
        <v>0</v>
      </c>
      <c r="Y1047" s="27">
        <v>133.08000000000001</v>
      </c>
      <c r="Z1047" s="27">
        <v>0</v>
      </c>
    </row>
    <row r="1048" spans="1:26" s="27" customFormat="1" ht="20.25" customHeight="1" x14ac:dyDescent="0.45">
      <c r="A1048" s="26"/>
      <c r="B1048" s="28"/>
      <c r="E1048" s="29"/>
      <c r="F1048" s="27">
        <v>0</v>
      </c>
      <c r="G1048" s="27">
        <v>0</v>
      </c>
      <c r="H1048" s="27">
        <v>0</v>
      </c>
      <c r="I1048" s="27">
        <v>0</v>
      </c>
      <c r="J1048" s="27">
        <v>72.343999999999994</v>
      </c>
      <c r="K1048" s="27">
        <v>0</v>
      </c>
      <c r="T1048" s="29"/>
      <c r="U1048" s="27">
        <v>0.46200000000000002</v>
      </c>
      <c r="V1048" s="27">
        <v>18.451000000000001</v>
      </c>
      <c r="W1048" s="27">
        <v>10.805999999999999</v>
      </c>
      <c r="X1048" s="27">
        <v>28.716999999999999</v>
      </c>
      <c r="Y1048" s="27">
        <v>-30.651</v>
      </c>
      <c r="Z1048" s="27">
        <v>3.77</v>
      </c>
    </row>
    <row r="1049" spans="1:26" s="27" customFormat="1" ht="20.25" customHeight="1" x14ac:dyDescent="0.45">
      <c r="A1049" s="26"/>
      <c r="B1049" s="28"/>
      <c r="E1049" s="29"/>
      <c r="F1049" s="27">
        <v>0.44700000000000001</v>
      </c>
      <c r="G1049" s="27">
        <v>11.677</v>
      </c>
      <c r="H1049" s="27">
        <v>9.2669999999999995</v>
      </c>
      <c r="I1049" s="27">
        <v>13.733000000000001</v>
      </c>
      <c r="J1049" s="27">
        <v>-93.813999999999993</v>
      </c>
      <c r="K1049" s="27">
        <v>3.6120000000000001</v>
      </c>
      <c r="T1049" s="29"/>
      <c r="U1049" s="27">
        <v>0</v>
      </c>
      <c r="V1049" s="27">
        <v>0</v>
      </c>
      <c r="W1049" s="27">
        <v>0</v>
      </c>
      <c r="X1049" s="27">
        <v>0</v>
      </c>
      <c r="Y1049" s="27">
        <v>25.134</v>
      </c>
      <c r="Z1049" s="27">
        <v>0</v>
      </c>
    </row>
    <row r="1050" spans="1:26" s="27" customFormat="1" ht="20.25" customHeight="1" x14ac:dyDescent="0.45">
      <c r="A1050" s="26"/>
      <c r="B1050" s="28"/>
      <c r="E1050" s="29"/>
      <c r="F1050" s="27">
        <v>0</v>
      </c>
      <c r="G1050" s="27">
        <v>0</v>
      </c>
      <c r="H1050" s="27">
        <v>0</v>
      </c>
      <c r="I1050" s="27">
        <v>0</v>
      </c>
      <c r="J1050" s="27">
        <v>115.883</v>
      </c>
      <c r="K1050" s="27">
        <v>0</v>
      </c>
      <c r="T1050" s="27">
        <v>1</v>
      </c>
      <c r="U1050" s="27">
        <v>0.82299999999999995</v>
      </c>
      <c r="V1050" s="27">
        <v>27.3</v>
      </c>
      <c r="W1050" s="27">
        <v>3</v>
      </c>
      <c r="X1050" s="27">
        <v>49.457999999999998</v>
      </c>
      <c r="Y1050" s="27">
        <v>56.591999999999999</v>
      </c>
      <c r="Z1050" s="27">
        <v>6.7640000000000002</v>
      </c>
    </row>
    <row r="1051" spans="1:26" s="27" customFormat="1" ht="20.25" customHeight="1" x14ac:dyDescent="0.45">
      <c r="A1051" s="26"/>
      <c r="B1051" s="28"/>
      <c r="E1051" s="27">
        <v>1</v>
      </c>
      <c r="F1051" s="27">
        <v>0.30299999999999999</v>
      </c>
      <c r="G1051" s="27">
        <v>17.943000000000001</v>
      </c>
      <c r="H1051" s="27">
        <v>15</v>
      </c>
      <c r="I1051" s="27">
        <v>22.36</v>
      </c>
      <c r="J1051" s="27">
        <v>69.775000000000006</v>
      </c>
      <c r="K1051" s="27">
        <v>2.4329999999999998</v>
      </c>
      <c r="T1051" s="29"/>
      <c r="U1051" s="27">
        <v>0</v>
      </c>
      <c r="V1051" s="27">
        <v>0</v>
      </c>
      <c r="W1051" s="27">
        <v>0</v>
      </c>
      <c r="X1051" s="27">
        <v>0</v>
      </c>
      <c r="Y1051" s="27">
        <v>151.30500000000001</v>
      </c>
      <c r="Z1051" s="27">
        <v>0</v>
      </c>
    </row>
    <row r="1052" spans="1:26" s="27" customFormat="1" ht="20.25" customHeight="1" x14ac:dyDescent="0.45">
      <c r="A1052" s="26"/>
      <c r="B1052" s="28"/>
      <c r="E1052" s="29"/>
      <c r="F1052" s="27">
        <v>0</v>
      </c>
      <c r="G1052" s="27">
        <v>0</v>
      </c>
      <c r="H1052" s="27">
        <v>0</v>
      </c>
      <c r="I1052" s="27">
        <v>0</v>
      </c>
      <c r="J1052" s="27">
        <v>90.718999999999994</v>
      </c>
      <c r="K1052" s="27">
        <v>0</v>
      </c>
      <c r="T1052" s="29"/>
      <c r="U1052" s="27">
        <v>0.505</v>
      </c>
      <c r="V1052" s="27">
        <v>24.254999999999999</v>
      </c>
      <c r="W1052" s="27">
        <v>6</v>
      </c>
      <c r="X1052" s="27">
        <v>33.896000000000001</v>
      </c>
      <c r="Y1052" s="27">
        <v>153.435</v>
      </c>
      <c r="Z1052" s="27">
        <v>4.03</v>
      </c>
    </row>
    <row r="1053" spans="1:26" s="27" customFormat="1" ht="20.25" customHeight="1" x14ac:dyDescent="0.45">
      <c r="A1053" s="26"/>
      <c r="B1053" s="28"/>
      <c r="E1053" s="27">
        <v>1</v>
      </c>
      <c r="F1053" s="27">
        <v>0.53400000000000003</v>
      </c>
      <c r="G1053" s="27">
        <v>14.58</v>
      </c>
      <c r="H1053" s="27">
        <v>4.875</v>
      </c>
      <c r="I1053" s="27">
        <v>29.12</v>
      </c>
      <c r="J1053" s="27">
        <v>157.011</v>
      </c>
      <c r="K1053" s="27">
        <v>4.3070000000000004</v>
      </c>
      <c r="T1053" s="29"/>
      <c r="U1053" s="27">
        <v>0</v>
      </c>
      <c r="V1053" s="27">
        <v>0</v>
      </c>
      <c r="W1053" s="27">
        <v>0</v>
      </c>
      <c r="X1053" s="27">
        <v>0</v>
      </c>
      <c r="Y1053" s="27">
        <v>103.17700000000001</v>
      </c>
      <c r="Z1053" s="27">
        <v>0</v>
      </c>
    </row>
    <row r="1054" spans="1:26" s="27" customFormat="1" ht="20.25" customHeight="1" x14ac:dyDescent="0.45">
      <c r="A1054" s="26"/>
      <c r="B1054" s="28"/>
      <c r="E1054" s="29"/>
      <c r="F1054" s="27">
        <v>0</v>
      </c>
      <c r="G1054" s="27">
        <v>0</v>
      </c>
      <c r="H1054" s="27">
        <v>0</v>
      </c>
      <c r="I1054" s="27">
        <v>0</v>
      </c>
      <c r="J1054" s="27">
        <v>147.52600000000001</v>
      </c>
      <c r="K1054" s="27">
        <v>0</v>
      </c>
      <c r="N1054" s="27" t="s">
        <v>123</v>
      </c>
      <c r="O1054" s="27">
        <v>0</v>
      </c>
    </row>
    <row r="1055" spans="1:26" s="27" customFormat="1" ht="20.25" customHeight="1" x14ac:dyDescent="0.45">
      <c r="A1055" s="26"/>
      <c r="B1055" s="28"/>
      <c r="C1055" s="27" t="s">
        <v>126</v>
      </c>
      <c r="D1055" s="27">
        <v>2</v>
      </c>
    </row>
    <row r="1056" spans="1:26" s="27" customFormat="1" ht="20.25" customHeight="1" x14ac:dyDescent="0.45">
      <c r="A1056" s="26"/>
      <c r="B1056" s="28"/>
    </row>
    <row r="1057" spans="1:19" s="27" customFormat="1" ht="20.25" customHeight="1" x14ac:dyDescent="0.45">
      <c r="A1057" s="26"/>
      <c r="B1057" s="28"/>
    </row>
    <row r="1058" spans="1:19" s="27" customFormat="1" ht="20.25" customHeight="1" x14ac:dyDescent="0.45">
      <c r="A1058" s="26"/>
      <c r="B1058" s="28"/>
    </row>
    <row r="1059" spans="1:19" s="27" customFormat="1" ht="20.25" customHeight="1" x14ac:dyDescent="0.45">
      <c r="A1059" s="26"/>
      <c r="B1059" s="28"/>
    </row>
    <row r="1060" spans="1:19" s="27" customFormat="1" ht="20.25" customHeight="1" x14ac:dyDescent="0.45">
      <c r="A1060" s="26"/>
      <c r="B1060" s="28"/>
      <c r="G1060" s="27">
        <f>K1053+K1051+K1049+K1047+K1045+K1043+H1040+K1038+K1036+K1034+H1031+K1029+K1027+K1025+K1023+K1021+K1019+K1017+K1015+K1012+K1010+K1008+K1006+K1004+K1002+H1000+H998+H996+H994+H991+K989+K987+K984+K982+K980+H978+K975+K973+K970+K968+K966+K964+K962+H960+K957+K955+H953+H951+K948+K946+K944+K942+H940+H938+H936+K934</f>
        <v>248.02799999999999</v>
      </c>
      <c r="H1060" s="27">
        <f>J1054+J1052+J1050+J1048+J1046+J1044+G1041+J1039+J1037+J1035+G1032+J1030+J1028+J1026+J1024+J1022+J1020+J1018+J1016+J1013+J1011+J1009+J1007+J1005+J1003+G1001+G999+G997+G995+G992+J990+J988+J985+J983+J981+G979+J976+J974+J971+J969+J967+J965+J963+G961+J958+J956+G954+G952+J949+J947+J945+J943+G941+G939+G937+J935</f>
        <v>6126.737000000001</v>
      </c>
    </row>
    <row r="1061" spans="1:19" s="27" customFormat="1" ht="20.25" customHeight="1" x14ac:dyDescent="0.45">
      <c r="A1061" s="26"/>
      <c r="B1061" s="28"/>
      <c r="C1061" s="27" t="s">
        <v>136</v>
      </c>
      <c r="D1061" s="27" t="s">
        <v>137</v>
      </c>
      <c r="F1061" s="27" t="s">
        <v>120</v>
      </c>
      <c r="G1061" s="27" t="s">
        <v>138</v>
      </c>
      <c r="H1061" s="27" t="s">
        <v>97</v>
      </c>
      <c r="R1061" s="27">
        <f>Z1052+Z1050+Z1048+Z1046+S1043+Z1041+Z1039+Z1035+Z1033+Z1031+Z1037+S1029+Z1026+Z1024+Z1022+S1020+S1018+Z1016+Z1013+Z1011+S1009+Z1007+Z1005+Z1003+S1000+Z998+Z995+Z993+Z991+Z989+Z987+Z985+Z983+Z981+Z979+Z976+Z974+Z972+Z970+Z968+Z966+Z964+Z962+Z960+S958+S954+S952+S950+Z948+Z946+Z944+Z942+Z940+Z938+Z936+Z934</f>
        <v>221.44400000000005</v>
      </c>
      <c r="S1061" s="27">
        <f>Y1053+Y1051+Y1049+Y1047+R1044+Y1042+Y1040+Y1038+Y1036+Y1034+Y1032+R1030+Y1027+Y1025+Y1023+R1021+R1019+Y1017+Y1014+Y1012+R1010+Y1008+Y1006+Y1004+R1001+Y999+Y996+Y994+Y992+Y990+Y988+Y986+Y984+Y982+Y980+Y977+Y975+Y973+Y971+Y969+Y967+Y965+Y963+Y961+R959+R955+R953+R951+Y949+Y947+Y945+Y943+Y941+Y939+Y937+Y935</f>
        <v>6739.2630000000026</v>
      </c>
    </row>
    <row r="1062" spans="1:19" s="27" customFormat="1" ht="20.25" customHeight="1" x14ac:dyDescent="0.45">
      <c r="A1062" s="26"/>
      <c r="B1062" s="28"/>
      <c r="C1062" s="27">
        <f>D1055+E1053+E1051+E1045+E1043+D1042+B1040+E1038+E1036+E1034+D1033+B1031+E1027+E1023+E1019+E1015+D1014+E1012+E1010+E1006+E1002+B998+B994+B991+D993+E989+E987+D986+E980+D977+E975+E973+D972+E970+E966+E964+E962+B960+D959+E957+E955+B953+B951+D950+E948+E946+E942+B936+E934</f>
        <v>75</v>
      </c>
      <c r="D1062" s="27">
        <v>56</v>
      </c>
      <c r="E1062" s="27" t="s">
        <v>102</v>
      </c>
      <c r="F1062" s="27">
        <f>D1062/C1062</f>
        <v>0.7466666666666667</v>
      </c>
      <c r="G1062" s="27">
        <f>G1060/D1062</f>
        <v>4.4290714285714285</v>
      </c>
      <c r="H1062" s="27">
        <f>H1060/D1062</f>
        <v>109.40601785714287</v>
      </c>
      <c r="N1062" s="27" t="s">
        <v>136</v>
      </c>
      <c r="O1062" s="27" t="s">
        <v>137</v>
      </c>
      <c r="P1062" s="29"/>
      <c r="Q1062" s="27" t="s">
        <v>120</v>
      </c>
      <c r="R1062" s="27" t="s">
        <v>138</v>
      </c>
      <c r="S1062" s="27" t="s">
        <v>97</v>
      </c>
    </row>
    <row r="1063" spans="1:19" s="27" customFormat="1" ht="20.25" customHeight="1" x14ac:dyDescent="0.45">
      <c r="A1063" s="26"/>
      <c r="B1063" s="28"/>
      <c r="E1063" s="27" t="s">
        <v>69</v>
      </c>
      <c r="F1063" s="27">
        <v>42</v>
      </c>
      <c r="G1063" s="27">
        <f>(G1060-(H1040+H1031+H1000+H998+H996+H994+H991+H978+H960+H951+H953+H940+H938+H936))/F1063</f>
        <v>4.6608809523809525</v>
      </c>
      <c r="H1063" s="27">
        <f>(H1060-(G1041+G1032+G1001+G999+G997+G995+G992+G979+G961+G954+G952+G941+G939+G937))/F1063</f>
        <v>113.9879761904762</v>
      </c>
      <c r="N1063" s="27">
        <f>O1054+T1050+T1046+O1045+T1037+T1033+T1031+M1029+T1026+T1024+T1022+M1018+T1016+T1011+M1009+T1007+T1005+T1003+O1002+O1015+O997+T998+T995+T991+T987+T979+O978+T972+T964+T962+T960+M958+O957+M954+M950+T946+T942+T938+T936+T934</f>
        <v>47</v>
      </c>
      <c r="O1063" s="27">
        <v>56</v>
      </c>
      <c r="P1063" s="27" t="s">
        <v>102</v>
      </c>
      <c r="Q1063" s="27">
        <f>O1063/N1063</f>
        <v>1.1914893617021276</v>
      </c>
      <c r="R1063" s="27">
        <f>R1061/O1063</f>
        <v>3.9543571428571438</v>
      </c>
      <c r="S1063" s="27">
        <f>S1061/O1063</f>
        <v>120.34398214285719</v>
      </c>
    </row>
    <row r="1064" spans="1:19" s="27" customFormat="1" ht="20.25" customHeight="1" x14ac:dyDescent="0.45">
      <c r="A1064" s="26"/>
      <c r="B1064" s="28"/>
      <c r="E1064" s="27" t="s">
        <v>78</v>
      </c>
      <c r="F1064" s="27">
        <f>D1062-F1063</f>
        <v>14</v>
      </c>
      <c r="G1064" s="27">
        <f>(H1040+H1031+H1000+H998+H996+H994+H991+H978+H960+H953+H951+H940+H938+H936)/F1064</f>
        <v>3.7336428571428573</v>
      </c>
      <c r="H1064" s="27">
        <f>(G1041+G1032+G1001+G999+G997+G995+G992+G979+G961+G954+G952+G941+G939+G937)/F1064</f>
        <v>95.660142857142844</v>
      </c>
      <c r="P1064" s="27" t="s">
        <v>78</v>
      </c>
      <c r="Q1064" s="27">
        <f>10</f>
        <v>10</v>
      </c>
      <c r="R1064" s="27">
        <f>(S1043+S1029+S1020+S1018+S1009+S1000+S958+S954+S952+S950)/Q1064</f>
        <v>4.7530000000000001</v>
      </c>
      <c r="S1064" s="27">
        <f>(R1044+R1030+R1021+R1019+R1010+R1001+R959+R955+R953+R951)/Q1064</f>
        <v>99.312299999999993</v>
      </c>
    </row>
    <row r="1065" spans="1:19" s="27" customFormat="1" ht="20.25" customHeight="1" x14ac:dyDescent="0.45">
      <c r="A1065" s="26"/>
      <c r="B1065" s="28"/>
      <c r="P1065" s="27" t="s">
        <v>69</v>
      </c>
      <c r="Q1065" s="27">
        <v>46</v>
      </c>
      <c r="R1065" s="27">
        <f>(R1061-(S1043+S1029+S1020+S1018+S1009+S1000+S958+S954+S952+S950))/Q1065</f>
        <v>3.7807391304347835</v>
      </c>
      <c r="S1065" s="27">
        <f>(S1061-(R1044+R1030+R1021+R1019+R1010+R1001+R959+R955+R953+R951))/Q1065</f>
        <v>124.91608695652181</v>
      </c>
    </row>
    <row r="1066" spans="1:19" s="27" customFormat="1" ht="20.25" customHeight="1" x14ac:dyDescent="0.45">
      <c r="A1066" s="26"/>
      <c r="B1066" s="28"/>
    </row>
    <row r="1067" spans="1:19" s="27" customFormat="1" ht="20.25" customHeight="1" x14ac:dyDescent="0.45">
      <c r="A1067" s="26"/>
      <c r="B1067" s="28"/>
    </row>
    <row r="1068" spans="1:19" s="27" customFormat="1" ht="20.25" customHeight="1" x14ac:dyDescent="0.45">
      <c r="A1068" s="26"/>
      <c r="B1068" s="28"/>
    </row>
    <row r="1069" spans="1:19" s="27" customFormat="1" ht="20.25" customHeight="1" x14ac:dyDescent="0.45">
      <c r="A1069" s="26"/>
      <c r="B1069" s="28"/>
    </row>
    <row r="1070" spans="1:19" s="27" customFormat="1" ht="20.25" customHeight="1" x14ac:dyDescent="0.45">
      <c r="A1070" s="26"/>
      <c r="B1070" s="28"/>
    </row>
    <row r="1071" spans="1:19" s="27" customFormat="1" ht="20.25" customHeight="1" x14ac:dyDescent="0.45">
      <c r="A1071" s="26"/>
      <c r="B1071" s="28"/>
    </row>
    <row r="1072" spans="1:19" s="27" customFormat="1" ht="20.25" customHeight="1" x14ac:dyDescent="0.45">
      <c r="A1072" s="26"/>
      <c r="B1072" s="28"/>
    </row>
    <row r="1073" spans="1:13" s="27" customFormat="1" ht="20.25" customHeight="1" x14ac:dyDescent="0.45">
      <c r="A1073" s="26"/>
      <c r="B1073" s="28"/>
    </row>
    <row r="1074" spans="1:13" s="27" customFormat="1" ht="20.25" customHeight="1" x14ac:dyDescent="0.45">
      <c r="A1074" s="26"/>
      <c r="B1074" s="28"/>
    </row>
    <row r="1075" spans="1:13" s="27" customFormat="1" ht="20.25" customHeight="1" x14ac:dyDescent="0.45">
      <c r="A1075" s="26"/>
      <c r="B1075" s="28"/>
    </row>
    <row r="1076" spans="1:13" s="27" customFormat="1" ht="20.25" customHeight="1" x14ac:dyDescent="0.45">
      <c r="A1076" s="26"/>
      <c r="B1076" s="28"/>
    </row>
    <row r="1077" spans="1:13" s="27" customFormat="1" ht="20.25" customHeight="1" x14ac:dyDescent="0.45">
      <c r="A1077" s="26"/>
      <c r="B1077" s="28"/>
      <c r="E1077" s="27" t="s">
        <v>10</v>
      </c>
      <c r="J1077" s="27" t="s">
        <v>8</v>
      </c>
    </row>
    <row r="1078" spans="1:13" s="27" customFormat="1" ht="20.25" customHeight="1" x14ac:dyDescent="0.45">
      <c r="A1078" s="26"/>
      <c r="B1078" s="28"/>
      <c r="E1078" s="27" t="s">
        <v>139</v>
      </c>
      <c r="F1078" s="27" t="s">
        <v>140</v>
      </c>
      <c r="G1078" s="27" t="s">
        <v>141</v>
      </c>
      <c r="H1078" s="27" t="s">
        <v>142</v>
      </c>
      <c r="J1078" s="27" t="s">
        <v>139</v>
      </c>
      <c r="K1078" s="27" t="s">
        <v>140</v>
      </c>
      <c r="L1078" s="27" t="s">
        <v>141</v>
      </c>
      <c r="M1078" s="27" t="s">
        <v>142</v>
      </c>
    </row>
    <row r="1079" spans="1:13" s="27" customFormat="1" ht="20.25" customHeight="1" x14ac:dyDescent="0.45">
      <c r="A1079" s="26"/>
      <c r="B1079" s="28"/>
      <c r="D1079" s="27" t="s">
        <v>143</v>
      </c>
      <c r="E1079" s="27">
        <v>4.09</v>
      </c>
      <c r="F1079" s="27">
        <v>117.14</v>
      </c>
      <c r="G1079" s="27">
        <v>3.65</v>
      </c>
      <c r="H1079" s="27">
        <v>130.54</v>
      </c>
      <c r="I1079" s="29"/>
      <c r="J1079" s="27">
        <v>4.21</v>
      </c>
      <c r="K1079" s="27">
        <v>122.27</v>
      </c>
      <c r="L1079" s="27">
        <v>3.97</v>
      </c>
      <c r="M1079" s="27">
        <v>140.22999999999999</v>
      </c>
    </row>
    <row r="1080" spans="1:13" s="27" customFormat="1" ht="20.25" customHeight="1" x14ac:dyDescent="0.45">
      <c r="A1080" s="26"/>
      <c r="B1080" s="28"/>
      <c r="D1080" s="27" t="s">
        <v>144</v>
      </c>
      <c r="E1080" s="27">
        <v>4.66</v>
      </c>
      <c r="F1080" s="27">
        <v>113.99</v>
      </c>
      <c r="G1080" s="27">
        <v>3.73</v>
      </c>
      <c r="H1080" s="27">
        <v>95.66</v>
      </c>
      <c r="I1080" s="29"/>
      <c r="J1080" s="27">
        <v>3.78</v>
      </c>
      <c r="K1080" s="27">
        <v>124.92</v>
      </c>
      <c r="L1080" s="27">
        <v>4.75</v>
      </c>
      <c r="M1080" s="27">
        <v>99.12</v>
      </c>
    </row>
    <row r="1081" spans="1:13" s="27" customFormat="1" ht="20.25" customHeight="1" x14ac:dyDescent="0.45">
      <c r="A1081" s="26"/>
      <c r="B1081" s="28"/>
      <c r="E1081" s="27">
        <f>AVERAGE(E1080,E1079)</f>
        <v>4.375</v>
      </c>
      <c r="F1081" s="27">
        <f>AVERAGE(F1080,F1079)</f>
        <v>115.565</v>
      </c>
      <c r="G1081" s="27">
        <f>AVERAGE(G1080,G1079)</f>
        <v>3.69</v>
      </c>
      <c r="H1081" s="27">
        <f>AVERAGE(H1080,H1079)</f>
        <v>113.1</v>
      </c>
      <c r="J1081" s="27">
        <f>AVERAGE(J1080,J1079)</f>
        <v>3.9950000000000001</v>
      </c>
      <c r="K1081" s="27">
        <f>AVERAGE(K1080,K1079)</f>
        <v>123.595</v>
      </c>
      <c r="L1081" s="27">
        <f>AVERAGE(L1080,L1079)</f>
        <v>4.3600000000000003</v>
      </c>
      <c r="M1081" s="27">
        <f>AVERAGE(M1080,M1079)</f>
        <v>119.675</v>
      </c>
    </row>
    <row r="1082" spans="1:13" s="27" customFormat="1" ht="20.25" customHeight="1" x14ac:dyDescent="0.45">
      <c r="A1082" s="26"/>
      <c r="B1082" s="28"/>
      <c r="E1082" s="27">
        <f>STDEV(E1080,E1079)</f>
        <v>0.40305086527633227</v>
      </c>
      <c r="F1082" s="27">
        <f>STDEV(F1080,F1079)</f>
        <v>2.2273863607376287</v>
      </c>
      <c r="G1082" s="27">
        <f>STDEV(G1080,G1079)</f>
        <v>5.6568542494923851E-2</v>
      </c>
      <c r="H1082" s="27">
        <f>STDEV(H1080,H1079)</f>
        <v>24.663884527786763</v>
      </c>
      <c r="J1082" s="27">
        <f>STDEV(J1080,J1079)</f>
        <v>0.30405591591021552</v>
      </c>
      <c r="K1082" s="27">
        <f>STDEV(K1080,K1079)</f>
        <v>1.873832970144355</v>
      </c>
      <c r="L1082" s="27">
        <f>STDEV(L1080,L1079)</f>
        <v>0.55154328932550689</v>
      </c>
      <c r="M1082" s="27">
        <f>STDEV(M1080,M1079)</f>
        <v>29.069159774578939</v>
      </c>
    </row>
    <row r="1083" spans="1:13" s="27" customFormat="1" ht="20.25" customHeight="1" x14ac:dyDescent="0.45">
      <c r="A1083" s="26"/>
      <c r="B1083" s="28"/>
    </row>
    <row r="1084" spans="1:13" s="27" customFormat="1" ht="20.25" customHeight="1" x14ac:dyDescent="0.45">
      <c r="A1084" s="26"/>
      <c r="B1084" s="28"/>
    </row>
    <row r="1085" spans="1:13" s="27" customFormat="1" ht="20.25" customHeight="1" x14ac:dyDescent="0.45">
      <c r="A1085" s="26"/>
      <c r="B1085" s="28"/>
    </row>
    <row r="1086" spans="1:13" s="27" customFormat="1" ht="20.25" customHeight="1" x14ac:dyDescent="0.45">
      <c r="A1086" s="26"/>
      <c r="B1086" s="28"/>
    </row>
    <row r="1087" spans="1:13" s="27" customFormat="1" ht="20.25" customHeight="1" x14ac:dyDescent="0.45">
      <c r="A1087" s="26"/>
      <c r="B1087" s="28"/>
    </row>
    <row r="1088" spans="1:13" s="27" customFormat="1" ht="20.25" customHeight="1" x14ac:dyDescent="0.45">
      <c r="A1088" s="26"/>
      <c r="B1088" s="28"/>
    </row>
    <row r="1089" spans="1:2" s="27" customFormat="1" ht="20.25" customHeight="1" x14ac:dyDescent="0.45">
      <c r="A1089" s="26"/>
      <c r="B1089" s="28"/>
    </row>
    <row r="1090" spans="1:2" s="27" customFormat="1" ht="20.25" customHeight="1" x14ac:dyDescent="0.45">
      <c r="A1090" s="26"/>
      <c r="B1090" s="28"/>
    </row>
    <row r="1091" spans="1:2" s="27" customFormat="1" ht="20.25" customHeight="1" x14ac:dyDescent="0.45">
      <c r="A1091" s="26"/>
      <c r="B1091" s="28"/>
    </row>
    <row r="1092" spans="1:2" s="27" customFormat="1" ht="20.25" customHeight="1" x14ac:dyDescent="0.45">
      <c r="A1092" s="26"/>
      <c r="B1092" s="28"/>
    </row>
    <row r="1093" spans="1:2" s="27" customFormat="1" ht="20.25" customHeight="1" x14ac:dyDescent="0.45">
      <c r="A1093" s="26"/>
      <c r="B1093" s="28"/>
    </row>
    <row r="1094" spans="1:2" s="27" customFormat="1" ht="20.25" customHeight="1" x14ac:dyDescent="0.45">
      <c r="A1094" s="26"/>
      <c r="B1094" s="28"/>
    </row>
    <row r="1095" spans="1:2" s="27" customFormat="1" ht="20.25" customHeight="1" x14ac:dyDescent="0.45">
      <c r="A1095" s="26"/>
      <c r="B1095" s="28"/>
    </row>
    <row r="1096" spans="1:2" s="27" customFormat="1" ht="20.25" customHeight="1" x14ac:dyDescent="0.45">
      <c r="A1096" s="26"/>
      <c r="B1096" s="28"/>
    </row>
    <row r="1097" spans="1:2" s="27" customFormat="1" ht="20.25" customHeight="1" x14ac:dyDescent="0.45">
      <c r="A1097" s="26"/>
      <c r="B1097" s="28"/>
    </row>
    <row r="1098" spans="1:2" s="27" customFormat="1" ht="20.25" customHeight="1" x14ac:dyDescent="0.45">
      <c r="A1098" s="26"/>
      <c r="B1098" s="28"/>
    </row>
    <row r="1099" spans="1:2" s="27" customFormat="1" ht="20.25" customHeight="1" x14ac:dyDescent="0.45">
      <c r="A1099" s="26"/>
      <c r="B1099" s="28"/>
    </row>
    <row r="1100" spans="1:2" s="27" customFormat="1" ht="20.25" customHeight="1" x14ac:dyDescent="0.45">
      <c r="A1100" s="26"/>
      <c r="B1100" s="28"/>
    </row>
    <row r="1101" spans="1:2" s="27" customFormat="1" ht="20.25" customHeight="1" x14ac:dyDescent="0.45">
      <c r="A1101" s="26"/>
      <c r="B1101" s="28"/>
    </row>
    <row r="1102" spans="1:2" s="27" customFormat="1" ht="20.25" customHeight="1" x14ac:dyDescent="0.45">
      <c r="A1102" s="26"/>
      <c r="B1102" s="28"/>
    </row>
    <row r="1103" spans="1:2" s="27" customFormat="1" ht="20.25" customHeight="1" x14ac:dyDescent="0.45">
      <c r="A1103" s="26"/>
      <c r="B1103" s="28"/>
    </row>
    <row r="1104" spans="1:2" s="27" customFormat="1" ht="20.25" customHeight="1" x14ac:dyDescent="0.45">
      <c r="A1104" s="26"/>
      <c r="B1104" s="28"/>
    </row>
    <row r="1105" spans="1:2" s="27" customFormat="1" ht="20.25" customHeight="1" x14ac:dyDescent="0.45">
      <c r="A1105" s="26"/>
      <c r="B1105" s="28"/>
    </row>
    <row r="1106" spans="1:2" s="27" customFormat="1" ht="20.25" customHeight="1" x14ac:dyDescent="0.45">
      <c r="A1106" s="26"/>
      <c r="B1106" s="28"/>
    </row>
    <row r="1107" spans="1:2" s="27" customFormat="1" ht="20.25" customHeight="1" x14ac:dyDescent="0.45">
      <c r="A1107" s="26"/>
      <c r="B1107" s="28"/>
    </row>
    <row r="1108" spans="1:2" s="27" customFormat="1" ht="20.25" customHeight="1" x14ac:dyDescent="0.45">
      <c r="A1108" s="26"/>
      <c r="B1108" s="28"/>
    </row>
    <row r="1109" spans="1:2" s="27" customFormat="1" ht="20.25" customHeight="1" x14ac:dyDescent="0.45">
      <c r="A1109" s="26"/>
      <c r="B1109" s="28"/>
    </row>
    <row r="1110" spans="1:2" s="27" customFormat="1" ht="20.25" customHeight="1" x14ac:dyDescent="0.45">
      <c r="A1110" s="26"/>
      <c r="B1110" s="28"/>
    </row>
    <row r="1111" spans="1:2" s="27" customFormat="1" ht="20.25" customHeight="1" x14ac:dyDescent="0.45">
      <c r="A1111" s="26"/>
      <c r="B1111" s="28"/>
    </row>
    <row r="1112" spans="1:2" s="27" customFormat="1" ht="20.25" customHeight="1" x14ac:dyDescent="0.45">
      <c r="A1112" s="26"/>
      <c r="B1112" s="28"/>
    </row>
    <row r="1113" spans="1:2" s="27" customFormat="1" ht="20.25" customHeight="1" x14ac:dyDescent="0.45">
      <c r="A1113" s="26"/>
      <c r="B1113" s="28"/>
    </row>
    <row r="1114" spans="1:2" s="27" customFormat="1" ht="20.25" customHeight="1" x14ac:dyDescent="0.45">
      <c r="A1114" s="26"/>
      <c r="B1114" s="28"/>
    </row>
    <row r="1115" spans="1:2" s="27" customFormat="1" ht="20.25" customHeight="1" x14ac:dyDescent="0.45">
      <c r="A1115" s="26"/>
      <c r="B1115" s="28"/>
    </row>
    <row r="1116" spans="1:2" s="27" customFormat="1" ht="20.25" customHeight="1" x14ac:dyDescent="0.45">
      <c r="A1116" s="26"/>
      <c r="B1116" s="28"/>
    </row>
    <row r="1117" spans="1:2" s="27" customFormat="1" ht="20.25" customHeight="1" x14ac:dyDescent="0.45">
      <c r="A1117" s="26"/>
      <c r="B1117" s="28"/>
    </row>
    <row r="1118" spans="1:2" s="27" customFormat="1" ht="20.25" customHeight="1" x14ac:dyDescent="0.45">
      <c r="A1118" s="26"/>
      <c r="B1118" s="28"/>
    </row>
    <row r="1119" spans="1:2" s="27" customFormat="1" ht="20.25" customHeight="1" x14ac:dyDescent="0.45">
      <c r="A1119" s="26"/>
      <c r="B1119" s="28"/>
    </row>
    <row r="1120" spans="1:2" s="27" customFormat="1" ht="20.25" customHeight="1" x14ac:dyDescent="0.45">
      <c r="A1120" s="26"/>
      <c r="B1120" s="28"/>
    </row>
    <row r="1121" spans="1:2" s="27" customFormat="1" ht="20.25" customHeight="1" x14ac:dyDescent="0.45">
      <c r="A1121" s="26"/>
      <c r="B1121" s="28"/>
    </row>
    <row r="1122" spans="1:2" s="27" customFormat="1" ht="20.25" customHeight="1" x14ac:dyDescent="0.45">
      <c r="A1122" s="26"/>
      <c r="B1122" s="28"/>
    </row>
    <row r="1123" spans="1:2" s="27" customFormat="1" ht="20.25" customHeight="1" x14ac:dyDescent="0.45">
      <c r="A1123" s="26"/>
      <c r="B1123" s="28"/>
    </row>
    <row r="1124" spans="1:2" s="27" customFormat="1" ht="20.25" customHeight="1" x14ac:dyDescent="0.45">
      <c r="A1124" s="26"/>
      <c r="B1124" s="28"/>
    </row>
    <row r="1125" spans="1:2" s="27" customFormat="1" ht="20.25" customHeight="1" x14ac:dyDescent="0.45">
      <c r="A1125" s="26"/>
      <c r="B1125" s="28"/>
    </row>
    <row r="1126" spans="1:2" s="27" customFormat="1" ht="20.25" customHeight="1" x14ac:dyDescent="0.45">
      <c r="A1126" s="26"/>
      <c r="B1126" s="28"/>
    </row>
    <row r="1127" spans="1:2" s="27" customFormat="1" ht="20.25" customHeight="1" x14ac:dyDescent="0.45">
      <c r="A1127" s="26"/>
      <c r="B1127" s="28"/>
    </row>
    <row r="1128" spans="1:2" s="27" customFormat="1" ht="20.25" customHeight="1" x14ac:dyDescent="0.45">
      <c r="A1128" s="26"/>
      <c r="B1128" s="28"/>
    </row>
    <row r="1129" spans="1:2" s="27" customFormat="1" ht="20.25" customHeight="1" x14ac:dyDescent="0.45">
      <c r="A1129" s="26"/>
      <c r="B1129" s="28"/>
    </row>
    <row r="1130" spans="1:2" s="27" customFormat="1" ht="20.25" customHeight="1" x14ac:dyDescent="0.45">
      <c r="A1130" s="26"/>
      <c r="B1130" s="28"/>
    </row>
    <row r="1131" spans="1:2" s="27" customFormat="1" ht="20.25" customHeight="1" x14ac:dyDescent="0.45">
      <c r="A1131" s="26"/>
      <c r="B1131" s="28"/>
    </row>
    <row r="1132" spans="1:2" s="27" customFormat="1" ht="20.25" customHeight="1" x14ac:dyDescent="0.45">
      <c r="A1132" s="26"/>
      <c r="B1132" s="28"/>
    </row>
    <row r="1133" spans="1:2" s="27" customFormat="1" ht="20.25" customHeight="1" x14ac:dyDescent="0.45">
      <c r="A1133" s="26"/>
      <c r="B1133" s="28"/>
    </row>
    <row r="1134" spans="1:2" s="27" customFormat="1" ht="20.25" customHeight="1" x14ac:dyDescent="0.45">
      <c r="A1134" s="26"/>
      <c r="B1134" s="28"/>
    </row>
    <row r="1135" spans="1:2" s="27" customFormat="1" ht="20.25" customHeight="1" x14ac:dyDescent="0.45">
      <c r="A1135" s="26"/>
      <c r="B1135" s="28"/>
    </row>
    <row r="1136" spans="1:2" s="27" customFormat="1" ht="20.25" customHeight="1" x14ac:dyDescent="0.45">
      <c r="A1136" s="26"/>
      <c r="B1136" s="28"/>
    </row>
    <row r="1137" spans="1:2" s="27" customFormat="1" ht="20.25" customHeight="1" x14ac:dyDescent="0.45">
      <c r="A1137" s="26"/>
      <c r="B1137" s="28"/>
    </row>
    <row r="1138" spans="1:2" s="27" customFormat="1" ht="20.25" customHeight="1" x14ac:dyDescent="0.45">
      <c r="A1138" s="26"/>
      <c r="B1138" s="28"/>
    </row>
    <row r="1139" spans="1:2" s="27" customFormat="1" ht="20.25" customHeight="1" x14ac:dyDescent="0.45">
      <c r="A1139" s="26"/>
      <c r="B1139" s="28"/>
    </row>
    <row r="1140" spans="1:2" s="27" customFormat="1" ht="20.25" customHeight="1" x14ac:dyDescent="0.45">
      <c r="A1140" s="26"/>
      <c r="B1140" s="28"/>
    </row>
    <row r="1141" spans="1:2" s="27" customFormat="1" ht="20.25" customHeight="1" x14ac:dyDescent="0.45">
      <c r="A1141" s="26"/>
      <c r="B1141" s="28"/>
    </row>
    <row r="1142" spans="1:2" s="27" customFormat="1" ht="20.25" customHeight="1" x14ac:dyDescent="0.45">
      <c r="A1142" s="26"/>
      <c r="B1142" s="28"/>
    </row>
    <row r="1143" spans="1:2" s="27" customFormat="1" ht="20.25" customHeight="1" x14ac:dyDescent="0.45">
      <c r="A1143" s="26"/>
      <c r="B1143" s="28"/>
    </row>
    <row r="1144" spans="1:2" s="27" customFormat="1" ht="20.25" customHeight="1" x14ac:dyDescent="0.45">
      <c r="A1144" s="26"/>
      <c r="B1144" s="28"/>
    </row>
    <row r="1145" spans="1:2" s="27" customFormat="1" ht="20.25" customHeight="1" x14ac:dyDescent="0.45">
      <c r="A1145" s="26"/>
      <c r="B1145" s="28"/>
    </row>
    <row r="1146" spans="1:2" s="27" customFormat="1" ht="20.25" customHeight="1" x14ac:dyDescent="0.45">
      <c r="A1146" s="26"/>
      <c r="B1146" s="28"/>
    </row>
    <row r="1147" spans="1:2" s="27" customFormat="1" ht="20.25" customHeight="1" x14ac:dyDescent="0.45">
      <c r="A1147" s="26"/>
      <c r="B1147" s="28"/>
    </row>
    <row r="1148" spans="1:2" s="27" customFormat="1" ht="20.25" customHeight="1" x14ac:dyDescent="0.45">
      <c r="A1148" s="26"/>
      <c r="B1148" s="28"/>
    </row>
    <row r="1149" spans="1:2" s="27" customFormat="1" ht="20.25" customHeight="1" x14ac:dyDescent="0.45">
      <c r="A1149" s="26"/>
      <c r="B1149" s="28"/>
    </row>
    <row r="1150" spans="1:2" s="27" customFormat="1" ht="20.25" customHeight="1" x14ac:dyDescent="0.45">
      <c r="A1150" s="26"/>
      <c r="B1150" s="28"/>
    </row>
    <row r="1151" spans="1:2" s="27" customFormat="1" ht="20.25" customHeight="1" x14ac:dyDescent="0.45">
      <c r="A1151" s="26"/>
      <c r="B1151" s="28"/>
    </row>
    <row r="1152" spans="1:2" s="27" customFormat="1" ht="20.25" customHeight="1" x14ac:dyDescent="0.45">
      <c r="A1152" s="26"/>
      <c r="B1152" s="28"/>
    </row>
    <row r="1153" spans="1:2" s="27" customFormat="1" ht="20.25" customHeight="1" x14ac:dyDescent="0.45">
      <c r="A1153" s="26"/>
      <c r="B1153" s="28"/>
    </row>
    <row r="1154" spans="1:2" s="27" customFormat="1" ht="20.25" customHeight="1" x14ac:dyDescent="0.45">
      <c r="A1154" s="26"/>
      <c r="B1154" s="28"/>
    </row>
    <row r="1155" spans="1:2" s="27" customFormat="1" ht="20.25" customHeight="1" x14ac:dyDescent="0.45">
      <c r="A1155" s="26"/>
      <c r="B1155" s="28"/>
    </row>
    <row r="1156" spans="1:2" s="27" customFormat="1" ht="20.25" customHeight="1" x14ac:dyDescent="0.45">
      <c r="A1156" s="26"/>
      <c r="B1156" s="28"/>
    </row>
    <row r="1157" spans="1:2" s="27" customFormat="1" ht="20.25" customHeight="1" x14ac:dyDescent="0.45">
      <c r="A1157" s="26"/>
      <c r="B1157" s="28"/>
    </row>
    <row r="1158" spans="1:2" s="27" customFormat="1" ht="20.25" customHeight="1" x14ac:dyDescent="0.45">
      <c r="A1158" s="26"/>
      <c r="B1158" s="28"/>
    </row>
    <row r="1159" spans="1:2" s="27" customFormat="1" ht="20.25" customHeight="1" x14ac:dyDescent="0.45">
      <c r="A1159" s="26"/>
      <c r="B1159" s="28"/>
    </row>
    <row r="1160" spans="1:2" s="27" customFormat="1" ht="20.25" customHeight="1" x14ac:dyDescent="0.45">
      <c r="A1160" s="26"/>
      <c r="B1160" s="28"/>
    </row>
    <row r="1161" spans="1:2" s="27" customFormat="1" ht="20.25" customHeight="1" x14ac:dyDescent="0.45">
      <c r="A1161" s="26"/>
      <c r="B1161" s="28"/>
    </row>
    <row r="1162" spans="1:2" s="27" customFormat="1" ht="20.25" customHeight="1" x14ac:dyDescent="0.45">
      <c r="A1162" s="26"/>
      <c r="B1162" s="28"/>
    </row>
    <row r="1163" spans="1:2" s="27" customFormat="1" ht="20.25" customHeight="1" x14ac:dyDescent="0.45">
      <c r="A1163" s="26"/>
      <c r="B1163" s="28"/>
    </row>
    <row r="1164" spans="1:2" s="27" customFormat="1" ht="20.25" customHeight="1" x14ac:dyDescent="0.45">
      <c r="A1164" s="26"/>
      <c r="B1164" s="28"/>
    </row>
    <row r="1165" spans="1:2" s="27" customFormat="1" ht="20.25" customHeight="1" x14ac:dyDescent="0.45">
      <c r="A1165" s="26"/>
      <c r="B1165" s="28"/>
    </row>
    <row r="1166" spans="1:2" s="27" customFormat="1" ht="20.25" customHeight="1" x14ac:dyDescent="0.45">
      <c r="A1166" s="26"/>
      <c r="B1166" s="28"/>
    </row>
    <row r="1167" spans="1:2" s="27" customFormat="1" ht="20.25" customHeight="1" x14ac:dyDescent="0.45">
      <c r="A1167" s="26"/>
      <c r="B1167" s="28"/>
    </row>
    <row r="1168" spans="1:2" s="27" customFormat="1" ht="20.25" customHeight="1" x14ac:dyDescent="0.45">
      <c r="A1168" s="26"/>
      <c r="B1168" s="28"/>
    </row>
    <row r="1169" spans="1:2" s="27" customFormat="1" ht="20.25" customHeight="1" x14ac:dyDescent="0.45">
      <c r="A1169" s="26"/>
      <c r="B1169" s="28"/>
    </row>
    <row r="1170" spans="1:2" s="27" customFormat="1" ht="20.25" customHeight="1" x14ac:dyDescent="0.45">
      <c r="A1170" s="26"/>
      <c r="B1170" s="28"/>
    </row>
    <row r="1171" spans="1:2" s="27" customFormat="1" ht="20.25" customHeight="1" x14ac:dyDescent="0.45">
      <c r="A1171" s="26"/>
      <c r="B1171" s="28"/>
    </row>
    <row r="1172" spans="1:2" s="27" customFormat="1" ht="20.25" customHeight="1" x14ac:dyDescent="0.45">
      <c r="A1172" s="26"/>
      <c r="B1172" s="28"/>
    </row>
    <row r="1173" spans="1:2" s="27" customFormat="1" ht="20.25" customHeight="1" x14ac:dyDescent="0.45">
      <c r="A1173" s="26"/>
      <c r="B1173" s="28"/>
    </row>
    <row r="1174" spans="1:2" s="27" customFormat="1" ht="20.25" customHeight="1" x14ac:dyDescent="0.45">
      <c r="A1174" s="26"/>
      <c r="B1174" s="28"/>
    </row>
    <row r="1175" spans="1:2" s="27" customFormat="1" ht="20.25" customHeight="1" x14ac:dyDescent="0.45">
      <c r="A1175" s="26"/>
      <c r="B1175" s="28"/>
    </row>
    <row r="1176" spans="1:2" s="27" customFormat="1" ht="20.25" customHeight="1" x14ac:dyDescent="0.45">
      <c r="A1176" s="26"/>
      <c r="B1176" s="28"/>
    </row>
    <row r="1177" spans="1:2" s="27" customFormat="1" ht="20.25" customHeight="1" x14ac:dyDescent="0.45">
      <c r="A1177" s="26"/>
      <c r="B1177" s="28"/>
    </row>
    <row r="1178" spans="1:2" s="27" customFormat="1" ht="20.25" customHeight="1" x14ac:dyDescent="0.45">
      <c r="A1178" s="26"/>
      <c r="B1178" s="28"/>
    </row>
    <row r="1179" spans="1:2" s="27" customFormat="1" ht="20.25" customHeight="1" x14ac:dyDescent="0.45">
      <c r="A1179" s="26"/>
      <c r="B1179" s="28"/>
    </row>
    <row r="1180" spans="1:2" s="27" customFormat="1" ht="20.25" customHeight="1" x14ac:dyDescent="0.45">
      <c r="A1180" s="26"/>
      <c r="B1180" s="28"/>
    </row>
    <row r="1181" spans="1:2" s="27" customFormat="1" ht="20.25" customHeight="1" x14ac:dyDescent="0.45">
      <c r="A1181" s="26"/>
      <c r="B1181" s="28"/>
    </row>
    <row r="1182" spans="1:2" s="27" customFormat="1" ht="20.25" customHeight="1" x14ac:dyDescent="0.45">
      <c r="A1182" s="26"/>
      <c r="B1182" s="28"/>
    </row>
    <row r="1183" spans="1:2" s="27" customFormat="1" ht="20.25" customHeight="1" x14ac:dyDescent="0.45">
      <c r="A1183" s="26"/>
      <c r="B1183" s="28"/>
    </row>
    <row r="1184" spans="1:2" s="27" customFormat="1" ht="20.25" customHeight="1" x14ac:dyDescent="0.45">
      <c r="A1184" s="26"/>
      <c r="B1184" s="28"/>
    </row>
    <row r="1185" spans="1:2" s="27" customFormat="1" ht="20.25" customHeight="1" x14ac:dyDescent="0.45">
      <c r="A1185" s="26"/>
      <c r="B1185" s="28"/>
    </row>
    <row r="1186" spans="1:2" s="27" customFormat="1" ht="20.25" customHeight="1" x14ac:dyDescent="0.45">
      <c r="A1186" s="26"/>
      <c r="B1186" s="28"/>
    </row>
    <row r="1187" spans="1:2" s="27" customFormat="1" ht="20.25" customHeight="1" x14ac:dyDescent="0.45">
      <c r="A1187" s="26"/>
      <c r="B1187" s="28"/>
    </row>
    <row r="1188" spans="1:2" s="27" customFormat="1" ht="20.25" customHeight="1" x14ac:dyDescent="0.45">
      <c r="A1188" s="26"/>
      <c r="B1188" s="28"/>
    </row>
    <row r="1189" spans="1:2" s="27" customFormat="1" ht="20.25" customHeight="1" x14ac:dyDescent="0.45">
      <c r="A1189" s="26"/>
      <c r="B1189" s="28"/>
    </row>
    <row r="1190" spans="1:2" s="27" customFormat="1" ht="20.25" customHeight="1" x14ac:dyDescent="0.45">
      <c r="A1190" s="26"/>
      <c r="B1190" s="28"/>
    </row>
    <row r="1191" spans="1:2" s="27" customFormat="1" ht="20.25" customHeight="1" x14ac:dyDescent="0.45">
      <c r="A1191" s="26"/>
      <c r="B1191" s="28"/>
    </row>
    <row r="1192" spans="1:2" s="27" customFormat="1" ht="20.25" customHeight="1" x14ac:dyDescent="0.45">
      <c r="A1192" s="26"/>
      <c r="B1192" s="28"/>
    </row>
    <row r="1193" spans="1:2" s="27" customFormat="1" ht="20.25" customHeight="1" x14ac:dyDescent="0.45">
      <c r="A1193" s="26"/>
      <c r="B1193" s="28"/>
    </row>
    <row r="1194" spans="1:2" s="27" customFormat="1" ht="20.25" customHeight="1" x14ac:dyDescent="0.45">
      <c r="A1194" s="26"/>
      <c r="B1194" s="28"/>
    </row>
    <row r="1195" spans="1:2" s="27" customFormat="1" ht="20.25" customHeight="1" x14ac:dyDescent="0.45">
      <c r="A1195" s="26"/>
      <c r="B1195" s="28"/>
    </row>
    <row r="1196" spans="1:2" s="27" customFormat="1" ht="20.25" customHeight="1" x14ac:dyDescent="0.45">
      <c r="A1196" s="26"/>
      <c r="B1196" s="28"/>
    </row>
    <row r="1197" spans="1:2" s="27" customFormat="1" ht="20.25" customHeight="1" x14ac:dyDescent="0.45">
      <c r="A1197" s="26"/>
      <c r="B1197" s="28"/>
    </row>
    <row r="1198" spans="1:2" s="27" customFormat="1" ht="20.25" customHeight="1" x14ac:dyDescent="0.45">
      <c r="A1198" s="26"/>
      <c r="B1198" s="28"/>
    </row>
    <row r="1199" spans="1:2" s="27" customFormat="1" ht="20.25" customHeight="1" x14ac:dyDescent="0.45">
      <c r="A1199" s="26"/>
      <c r="B1199" s="28"/>
    </row>
    <row r="1200" spans="1:2" s="27" customFormat="1" ht="20.25" customHeight="1" x14ac:dyDescent="0.45">
      <c r="A1200" s="26"/>
      <c r="B1200" s="28"/>
    </row>
    <row r="1201" spans="1:2" s="27" customFormat="1" ht="20.25" customHeight="1" x14ac:dyDescent="0.45">
      <c r="A1201" s="26"/>
      <c r="B1201" s="28"/>
    </row>
    <row r="1202" spans="1:2" s="27" customFormat="1" ht="20.25" customHeight="1" x14ac:dyDescent="0.45">
      <c r="A1202" s="26"/>
      <c r="B1202" s="28"/>
    </row>
    <row r="1203" spans="1:2" s="27" customFormat="1" ht="20.25" customHeight="1" x14ac:dyDescent="0.45">
      <c r="A1203" s="26"/>
      <c r="B1203" s="28"/>
    </row>
    <row r="1204" spans="1:2" s="27" customFormat="1" ht="20.25" customHeight="1" x14ac:dyDescent="0.45">
      <c r="A1204" s="26"/>
      <c r="B1204" s="28"/>
    </row>
    <row r="1205" spans="1:2" s="27" customFormat="1" ht="20.25" customHeight="1" x14ac:dyDescent="0.45">
      <c r="A1205" s="26"/>
      <c r="B1205" s="28"/>
    </row>
    <row r="1206" spans="1:2" s="27" customFormat="1" ht="20.25" customHeight="1" x14ac:dyDescent="0.45">
      <c r="A1206" s="26"/>
      <c r="B1206" s="28"/>
    </row>
    <row r="1207" spans="1:2" s="27" customFormat="1" ht="20.25" customHeight="1" x14ac:dyDescent="0.45">
      <c r="A1207" s="26"/>
      <c r="B1207" s="28"/>
    </row>
    <row r="1208" spans="1:2" s="27" customFormat="1" ht="20.25" customHeight="1" x14ac:dyDescent="0.45">
      <c r="A1208" s="26"/>
      <c r="B1208" s="28"/>
    </row>
    <row r="1209" spans="1:2" s="27" customFormat="1" ht="20.25" customHeight="1" x14ac:dyDescent="0.45">
      <c r="A1209" s="26"/>
      <c r="B1209" s="28"/>
    </row>
    <row r="1210" spans="1:2" s="27" customFormat="1" ht="20.25" customHeight="1" x14ac:dyDescent="0.45">
      <c r="A1210" s="26"/>
      <c r="B1210" s="28"/>
    </row>
    <row r="1211" spans="1:2" s="27" customFormat="1" ht="20.25" customHeight="1" x14ac:dyDescent="0.45">
      <c r="A1211" s="26"/>
      <c r="B1211" s="28"/>
    </row>
    <row r="1212" spans="1:2" s="27" customFormat="1" ht="20.25" customHeight="1" x14ac:dyDescent="0.45">
      <c r="A1212" s="26"/>
      <c r="B1212" s="28"/>
    </row>
    <row r="1213" spans="1:2" s="27" customFormat="1" ht="20.25" customHeight="1" x14ac:dyDescent="0.45">
      <c r="A1213" s="26"/>
      <c r="B1213" s="28"/>
    </row>
    <row r="1214" spans="1:2" s="27" customFormat="1" ht="20.25" customHeight="1" x14ac:dyDescent="0.45">
      <c r="A1214" s="26"/>
      <c r="B1214" s="28"/>
    </row>
    <row r="1215" spans="1:2" s="27" customFormat="1" ht="20.25" customHeight="1" x14ac:dyDescent="0.45">
      <c r="A1215" s="26"/>
      <c r="B1215" s="28"/>
    </row>
    <row r="1216" spans="1:2" s="27" customFormat="1" ht="20.25" customHeight="1" x14ac:dyDescent="0.45">
      <c r="A1216" s="26"/>
      <c r="B1216" s="28"/>
    </row>
    <row r="1217" spans="1:2" s="27" customFormat="1" ht="20.25" customHeight="1" x14ac:dyDescent="0.45">
      <c r="A1217" s="26"/>
      <c r="B1217" s="28"/>
    </row>
    <row r="1218" spans="1:2" s="27" customFormat="1" ht="20.25" customHeight="1" x14ac:dyDescent="0.45">
      <c r="A1218" s="26"/>
      <c r="B1218" s="28"/>
    </row>
    <row r="1219" spans="1:2" s="27" customFormat="1" ht="20.25" customHeight="1" x14ac:dyDescent="0.45">
      <c r="A1219" s="26"/>
      <c r="B1219" s="28"/>
    </row>
    <row r="1220" spans="1:2" s="27" customFormat="1" ht="20.25" customHeight="1" x14ac:dyDescent="0.45">
      <c r="A1220" s="26"/>
      <c r="B1220" s="28"/>
    </row>
    <row r="1221" spans="1:2" s="27" customFormat="1" ht="20.25" customHeight="1" x14ac:dyDescent="0.45">
      <c r="A1221" s="26"/>
      <c r="B1221" s="28"/>
    </row>
    <row r="1222" spans="1:2" s="27" customFormat="1" ht="20.25" customHeight="1" x14ac:dyDescent="0.45">
      <c r="A1222" s="26"/>
      <c r="B1222" s="28"/>
    </row>
    <row r="1223" spans="1:2" s="27" customFormat="1" ht="20.25" customHeight="1" x14ac:dyDescent="0.45">
      <c r="A1223" s="26"/>
      <c r="B1223" s="28"/>
    </row>
    <row r="1224" spans="1:2" s="27" customFormat="1" ht="20.25" customHeight="1" x14ac:dyDescent="0.45">
      <c r="A1224" s="26"/>
      <c r="B1224" s="28"/>
    </row>
    <row r="1225" spans="1:2" s="27" customFormat="1" ht="20.25" customHeight="1" x14ac:dyDescent="0.45">
      <c r="A1225" s="26"/>
      <c r="B1225" s="28"/>
    </row>
    <row r="1226" spans="1:2" s="27" customFormat="1" ht="20.25" customHeight="1" x14ac:dyDescent="0.45">
      <c r="A1226" s="26"/>
      <c r="B1226" s="28"/>
    </row>
    <row r="1227" spans="1:2" s="27" customFormat="1" ht="20.25" customHeight="1" x14ac:dyDescent="0.45">
      <c r="A1227" s="26"/>
      <c r="B1227" s="28"/>
    </row>
    <row r="1228" spans="1:2" s="27" customFormat="1" ht="20.25" customHeight="1" x14ac:dyDescent="0.45">
      <c r="A1228" s="26"/>
      <c r="B1228" s="28"/>
    </row>
    <row r="1229" spans="1:2" s="27" customFormat="1" ht="20.25" customHeight="1" x14ac:dyDescent="0.45">
      <c r="A1229" s="26"/>
      <c r="B1229" s="28"/>
    </row>
    <row r="1230" spans="1:2" s="27" customFormat="1" ht="20.25" customHeight="1" x14ac:dyDescent="0.45">
      <c r="A1230" s="26"/>
      <c r="B1230" s="28"/>
    </row>
    <row r="1231" spans="1:2" s="27" customFormat="1" ht="20.25" customHeight="1" x14ac:dyDescent="0.45">
      <c r="A1231" s="26"/>
      <c r="B1231" s="28"/>
    </row>
    <row r="1232" spans="1:2" s="27" customFormat="1" ht="20.25" customHeight="1" x14ac:dyDescent="0.45">
      <c r="A1232" s="26"/>
      <c r="B1232" s="28"/>
    </row>
    <row r="1233" spans="1:2" s="27" customFormat="1" ht="20.25" customHeight="1" x14ac:dyDescent="0.45">
      <c r="A1233" s="26"/>
      <c r="B1233" s="28"/>
    </row>
    <row r="1234" spans="1:2" s="27" customFormat="1" ht="20.25" customHeight="1" x14ac:dyDescent="0.45">
      <c r="A1234" s="26"/>
      <c r="B1234" s="28"/>
    </row>
    <row r="1235" spans="1:2" s="27" customFormat="1" ht="20.25" customHeight="1" x14ac:dyDescent="0.45">
      <c r="A1235" s="26"/>
      <c r="B1235" s="28"/>
    </row>
    <row r="1236" spans="1:2" s="27" customFormat="1" ht="20.25" customHeight="1" x14ac:dyDescent="0.45">
      <c r="A1236" s="26"/>
      <c r="B1236" s="28"/>
    </row>
    <row r="1237" spans="1:2" s="27" customFormat="1" ht="20.25" customHeight="1" x14ac:dyDescent="0.45">
      <c r="A1237" s="26"/>
      <c r="B1237" s="28"/>
    </row>
    <row r="1238" spans="1:2" s="27" customFormat="1" ht="20.25" customHeight="1" x14ac:dyDescent="0.45">
      <c r="A1238" s="26"/>
      <c r="B1238" s="28"/>
    </row>
    <row r="1239" spans="1:2" s="27" customFormat="1" ht="20.25" customHeight="1" x14ac:dyDescent="0.45">
      <c r="A1239" s="26"/>
      <c r="B1239" s="28"/>
    </row>
    <row r="1240" spans="1:2" s="27" customFormat="1" ht="20.25" customHeight="1" x14ac:dyDescent="0.45">
      <c r="A1240" s="26"/>
      <c r="B1240" s="28"/>
    </row>
    <row r="1241" spans="1:2" s="27" customFormat="1" ht="20.25" customHeight="1" x14ac:dyDescent="0.45">
      <c r="A1241" s="26"/>
      <c r="B1241" s="28"/>
    </row>
    <row r="1242" spans="1:2" s="27" customFormat="1" ht="20.25" customHeight="1" x14ac:dyDescent="0.45">
      <c r="A1242" s="26"/>
      <c r="B1242" s="28"/>
    </row>
    <row r="1243" spans="1:2" s="27" customFormat="1" ht="20.25" customHeight="1" x14ac:dyDescent="0.45">
      <c r="A1243" s="26"/>
      <c r="B1243" s="28"/>
    </row>
    <row r="1244" spans="1:2" s="27" customFormat="1" ht="20.25" customHeight="1" x14ac:dyDescent="0.45">
      <c r="A1244" s="26"/>
      <c r="B1244" s="28"/>
    </row>
    <row r="1245" spans="1:2" s="27" customFormat="1" ht="20.25" customHeight="1" x14ac:dyDescent="0.45">
      <c r="A1245" s="26"/>
      <c r="B1245" s="28"/>
    </row>
    <row r="1246" spans="1:2" s="27" customFormat="1" ht="20.25" customHeight="1" x14ac:dyDescent="0.45">
      <c r="A1246" s="26"/>
      <c r="B1246" s="28"/>
    </row>
    <row r="1247" spans="1:2" s="27" customFormat="1" ht="20.25" customHeight="1" x14ac:dyDescent="0.45">
      <c r="A1247" s="26"/>
      <c r="B1247" s="28"/>
    </row>
    <row r="1248" spans="1:2" s="27" customFormat="1" ht="20.25" customHeight="1" x14ac:dyDescent="0.45">
      <c r="A1248" s="26"/>
      <c r="B1248" s="28"/>
    </row>
    <row r="1249" spans="1:2" s="27" customFormat="1" ht="20.25" customHeight="1" x14ac:dyDescent="0.45">
      <c r="A1249" s="26"/>
      <c r="B1249" s="28"/>
    </row>
    <row r="1250" spans="1:2" s="27" customFormat="1" ht="20.25" customHeight="1" x14ac:dyDescent="0.45">
      <c r="A1250" s="26"/>
      <c r="B1250" s="28"/>
    </row>
    <row r="1251" spans="1:2" s="27" customFormat="1" ht="20.25" customHeight="1" x14ac:dyDescent="0.45">
      <c r="A1251" s="26"/>
      <c r="B1251" s="28"/>
    </row>
    <row r="1252" spans="1:2" s="27" customFormat="1" ht="20.25" customHeight="1" x14ac:dyDescent="0.45">
      <c r="A1252" s="26"/>
      <c r="B1252" s="28"/>
    </row>
    <row r="1253" spans="1:2" s="27" customFormat="1" ht="20.25" customHeight="1" x14ac:dyDescent="0.45">
      <c r="A1253" s="26"/>
      <c r="B1253" s="28"/>
    </row>
    <row r="1254" spans="1:2" s="27" customFormat="1" ht="20.25" customHeight="1" x14ac:dyDescent="0.45">
      <c r="A1254" s="26"/>
      <c r="B1254" s="28"/>
    </row>
    <row r="1255" spans="1:2" s="27" customFormat="1" ht="20.25" customHeight="1" x14ac:dyDescent="0.45">
      <c r="A1255" s="26"/>
      <c r="B1255" s="28"/>
    </row>
    <row r="1256" spans="1:2" s="27" customFormat="1" ht="20.25" customHeight="1" x14ac:dyDescent="0.45">
      <c r="A1256" s="26"/>
      <c r="B1256" s="28"/>
    </row>
    <row r="1257" spans="1:2" s="27" customFormat="1" ht="20.25" customHeight="1" x14ac:dyDescent="0.45">
      <c r="A1257" s="26"/>
      <c r="B1257" s="28"/>
    </row>
    <row r="1258" spans="1:2" s="27" customFormat="1" ht="20.25" customHeight="1" x14ac:dyDescent="0.45">
      <c r="A1258" s="26"/>
      <c r="B1258" s="28"/>
    </row>
    <row r="1259" spans="1:2" s="27" customFormat="1" ht="20.25" customHeight="1" x14ac:dyDescent="0.45">
      <c r="A1259" s="26"/>
      <c r="B1259" s="28"/>
    </row>
    <row r="1260" spans="1:2" s="27" customFormat="1" ht="20.25" customHeight="1" x14ac:dyDescent="0.45">
      <c r="A1260" s="26"/>
      <c r="B1260" s="28"/>
    </row>
    <row r="1261" spans="1:2" s="27" customFormat="1" ht="20.25" customHeight="1" x14ac:dyDescent="0.45">
      <c r="A1261" s="26"/>
      <c r="B1261" s="28"/>
    </row>
    <row r="1262" spans="1:2" s="27" customFormat="1" ht="20.25" customHeight="1" x14ac:dyDescent="0.45">
      <c r="A1262" s="26"/>
      <c r="B1262" s="28"/>
    </row>
    <row r="1263" spans="1:2" s="27" customFormat="1" ht="20.25" customHeight="1" x14ac:dyDescent="0.45">
      <c r="A1263" s="26"/>
      <c r="B1263" s="28"/>
    </row>
    <row r="1264" spans="1:2" s="27" customFormat="1" ht="20.25" customHeight="1" x14ac:dyDescent="0.45">
      <c r="A1264" s="26"/>
      <c r="B1264" s="28"/>
    </row>
    <row r="1265" spans="1:2" s="27" customFormat="1" ht="20.25" customHeight="1" x14ac:dyDescent="0.45">
      <c r="A1265" s="26"/>
      <c r="B1265" s="28"/>
    </row>
    <row r="1266" spans="1:2" s="27" customFormat="1" ht="20.25" customHeight="1" x14ac:dyDescent="0.45">
      <c r="A1266" s="26"/>
      <c r="B1266" s="28"/>
    </row>
    <row r="1267" spans="1:2" s="27" customFormat="1" ht="20.25" customHeight="1" x14ac:dyDescent="0.45">
      <c r="A1267" s="26"/>
      <c r="B1267" s="28"/>
    </row>
    <row r="1268" spans="1:2" s="27" customFormat="1" ht="20.25" customHeight="1" x14ac:dyDescent="0.45">
      <c r="A1268" s="26"/>
      <c r="B1268" s="28"/>
    </row>
    <row r="1269" spans="1:2" s="27" customFormat="1" ht="20.25" customHeight="1" x14ac:dyDescent="0.45">
      <c r="A1269" s="26"/>
      <c r="B1269" s="28"/>
    </row>
    <row r="1270" spans="1:2" s="27" customFormat="1" ht="20.25" customHeight="1" x14ac:dyDescent="0.45">
      <c r="A1270" s="26"/>
      <c r="B1270" s="28"/>
    </row>
    <row r="1271" spans="1:2" s="27" customFormat="1" ht="20.25" customHeight="1" x14ac:dyDescent="0.45">
      <c r="A1271" s="26"/>
      <c r="B1271" s="28"/>
    </row>
    <row r="1272" spans="1:2" s="27" customFormat="1" ht="20.25" customHeight="1" x14ac:dyDescent="0.45">
      <c r="A1272" s="26"/>
      <c r="B1272" s="28"/>
    </row>
    <row r="1273" spans="1:2" s="27" customFormat="1" ht="20.25" customHeight="1" x14ac:dyDescent="0.45">
      <c r="A1273" s="26"/>
      <c r="B1273" s="28"/>
    </row>
    <row r="1274" spans="1:2" s="27" customFormat="1" ht="20.25" customHeight="1" x14ac:dyDescent="0.45">
      <c r="A1274" s="26"/>
      <c r="B1274" s="28"/>
    </row>
    <row r="1275" spans="1:2" s="27" customFormat="1" ht="20.25" customHeight="1" x14ac:dyDescent="0.45">
      <c r="A1275" s="26"/>
      <c r="B1275" s="28"/>
    </row>
    <row r="1276" spans="1:2" s="27" customFormat="1" ht="20.25" customHeight="1" x14ac:dyDescent="0.45">
      <c r="A1276" s="26"/>
      <c r="B1276" s="28"/>
    </row>
    <row r="1277" spans="1:2" s="27" customFormat="1" ht="20.25" customHeight="1" x14ac:dyDescent="0.45">
      <c r="A1277" s="26"/>
      <c r="B1277" s="28"/>
    </row>
    <row r="1278" spans="1:2" s="27" customFormat="1" ht="20.25" customHeight="1" x14ac:dyDescent="0.45">
      <c r="A1278" s="26"/>
      <c r="B1278" s="28"/>
    </row>
    <row r="1279" spans="1:2" s="27" customFormat="1" ht="20.25" customHeight="1" x14ac:dyDescent="0.45">
      <c r="A1279" s="26"/>
      <c r="B1279" s="28"/>
    </row>
    <row r="1280" spans="1:2" s="27" customFormat="1" ht="20.25" customHeight="1" x14ac:dyDescent="0.45">
      <c r="A1280" s="26"/>
      <c r="B1280" s="28"/>
    </row>
    <row r="1281" spans="1:2" s="27" customFormat="1" ht="20.25" customHeight="1" x14ac:dyDescent="0.45">
      <c r="A1281" s="26"/>
      <c r="B1281" s="28"/>
    </row>
    <row r="1282" spans="1:2" s="27" customFormat="1" ht="20.25" customHeight="1" x14ac:dyDescent="0.45">
      <c r="A1282" s="26"/>
      <c r="B1282" s="28"/>
    </row>
    <row r="1283" spans="1:2" s="27" customFormat="1" ht="20.25" customHeight="1" x14ac:dyDescent="0.45">
      <c r="A1283" s="26"/>
      <c r="B1283" s="28"/>
    </row>
    <row r="1284" spans="1:2" s="27" customFormat="1" ht="20.25" customHeight="1" x14ac:dyDescent="0.45">
      <c r="A1284" s="26"/>
      <c r="B1284" s="28"/>
    </row>
    <row r="1285" spans="1:2" s="27" customFormat="1" ht="20.25" customHeight="1" x14ac:dyDescent="0.45">
      <c r="A1285" s="26"/>
      <c r="B1285" s="28"/>
    </row>
    <row r="1286" spans="1:2" s="27" customFormat="1" ht="20.25" customHeight="1" x14ac:dyDescent="0.45">
      <c r="A1286" s="26"/>
      <c r="B1286" s="28"/>
    </row>
    <row r="1287" spans="1:2" s="27" customFormat="1" ht="20.25" customHeight="1" x14ac:dyDescent="0.45">
      <c r="A1287" s="26"/>
      <c r="B1287" s="28"/>
    </row>
    <row r="1288" spans="1:2" s="27" customFormat="1" ht="20.25" customHeight="1" x14ac:dyDescent="0.45">
      <c r="A1288" s="26"/>
      <c r="B1288" s="28"/>
    </row>
    <row r="1289" spans="1:2" s="27" customFormat="1" ht="20.25" customHeight="1" x14ac:dyDescent="0.45">
      <c r="A1289" s="26"/>
      <c r="B1289" s="28"/>
    </row>
    <row r="1290" spans="1:2" s="27" customFormat="1" ht="20.25" customHeight="1" x14ac:dyDescent="0.45">
      <c r="A1290" s="26"/>
      <c r="B1290" s="28"/>
    </row>
    <row r="1291" spans="1:2" s="27" customFormat="1" ht="20.25" customHeight="1" x14ac:dyDescent="0.45">
      <c r="A1291" s="26"/>
      <c r="B1291" s="28"/>
    </row>
    <row r="1292" spans="1:2" s="27" customFormat="1" ht="20.25" customHeight="1" x14ac:dyDescent="0.45">
      <c r="A1292" s="26"/>
      <c r="B1292" s="28"/>
    </row>
    <row r="1293" spans="1:2" s="27" customFormat="1" ht="20.25" customHeight="1" x14ac:dyDescent="0.45">
      <c r="A1293" s="26"/>
      <c r="B1293" s="28"/>
    </row>
    <row r="1294" spans="1:2" s="27" customFormat="1" ht="20.25" customHeight="1" x14ac:dyDescent="0.45">
      <c r="A1294" s="26"/>
      <c r="B1294" s="28"/>
    </row>
    <row r="1295" spans="1:2" s="27" customFormat="1" ht="20.25" customHeight="1" x14ac:dyDescent="0.45">
      <c r="A1295" s="26"/>
      <c r="B1295" s="28"/>
    </row>
    <row r="1296" spans="1:2" s="27" customFormat="1" ht="20.25" customHeight="1" x14ac:dyDescent="0.45">
      <c r="A1296" s="26"/>
      <c r="B1296" s="28"/>
    </row>
    <row r="1297" spans="1:2" s="27" customFormat="1" ht="20.25" customHeight="1" x14ac:dyDescent="0.45">
      <c r="A1297" s="26"/>
      <c r="B1297" s="28"/>
    </row>
    <row r="1298" spans="1:2" s="27" customFormat="1" ht="20.25" customHeight="1" x14ac:dyDescent="0.45">
      <c r="A1298" s="26"/>
      <c r="B1298" s="28"/>
    </row>
    <row r="1299" spans="1:2" s="27" customFormat="1" ht="20.25" customHeight="1" x14ac:dyDescent="0.45">
      <c r="A1299" s="26"/>
      <c r="B1299" s="28"/>
    </row>
    <row r="1300" spans="1:2" s="27" customFormat="1" ht="20.25" customHeight="1" x14ac:dyDescent="0.45">
      <c r="A1300" s="26"/>
      <c r="B1300" s="28"/>
    </row>
    <row r="1301" spans="1:2" s="27" customFormat="1" ht="20.25" customHeight="1" x14ac:dyDescent="0.45">
      <c r="A1301" s="26"/>
      <c r="B1301" s="28"/>
    </row>
    <row r="1302" spans="1:2" s="27" customFormat="1" ht="20.25" customHeight="1" x14ac:dyDescent="0.45">
      <c r="A1302" s="26"/>
      <c r="B1302" s="28"/>
    </row>
    <row r="1303" spans="1:2" s="27" customFormat="1" ht="20.25" customHeight="1" x14ac:dyDescent="0.45">
      <c r="A1303" s="26"/>
      <c r="B1303" s="28"/>
    </row>
    <row r="1304" spans="1:2" s="27" customFormat="1" ht="20.25" customHeight="1" x14ac:dyDescent="0.45">
      <c r="A1304" s="26"/>
      <c r="B1304" s="28"/>
    </row>
    <row r="1305" spans="1:2" s="27" customFormat="1" ht="20.25" customHeight="1" x14ac:dyDescent="0.45">
      <c r="A1305" s="26"/>
      <c r="B1305" s="28"/>
    </row>
    <row r="1306" spans="1:2" s="27" customFormat="1" ht="20.25" customHeight="1" x14ac:dyDescent="0.45">
      <c r="A1306" s="26"/>
      <c r="B1306" s="28"/>
    </row>
    <row r="1307" spans="1:2" s="27" customFormat="1" ht="20.25" customHeight="1" x14ac:dyDescent="0.45">
      <c r="A1307" s="26"/>
      <c r="B1307" s="28"/>
    </row>
    <row r="1308" spans="1:2" s="27" customFormat="1" ht="20.25" customHeight="1" x14ac:dyDescent="0.45">
      <c r="A1308" s="26"/>
      <c r="B1308" s="28"/>
    </row>
    <row r="1309" spans="1:2" s="27" customFormat="1" ht="20.25" customHeight="1" x14ac:dyDescent="0.45">
      <c r="A1309" s="26"/>
      <c r="B1309" s="28"/>
    </row>
    <row r="1310" spans="1:2" s="27" customFormat="1" ht="20.25" customHeight="1" x14ac:dyDescent="0.45">
      <c r="A1310" s="26"/>
      <c r="B1310" s="28"/>
    </row>
    <row r="1311" spans="1:2" s="27" customFormat="1" ht="20.25" customHeight="1" x14ac:dyDescent="0.45">
      <c r="A1311" s="26"/>
      <c r="B1311" s="28"/>
    </row>
    <row r="1312" spans="1:2" s="27" customFormat="1" ht="20.25" customHeight="1" x14ac:dyDescent="0.45">
      <c r="A1312" s="26"/>
      <c r="B1312" s="28"/>
    </row>
    <row r="1313" spans="1:2" s="27" customFormat="1" ht="20.25" customHeight="1" x14ac:dyDescent="0.45">
      <c r="A1313" s="26"/>
      <c r="B1313" s="28"/>
    </row>
    <row r="1314" spans="1:2" s="27" customFormat="1" ht="20.25" customHeight="1" x14ac:dyDescent="0.45">
      <c r="A1314" s="26"/>
      <c r="B1314" s="28"/>
    </row>
    <row r="1315" spans="1:2" s="27" customFormat="1" ht="20.25" customHeight="1" x14ac:dyDescent="0.45">
      <c r="A1315" s="26"/>
      <c r="B1315" s="28"/>
    </row>
    <row r="1316" spans="1:2" s="27" customFormat="1" ht="20.25" customHeight="1" x14ac:dyDescent="0.45">
      <c r="A1316" s="26"/>
      <c r="B1316" s="28"/>
    </row>
    <row r="1317" spans="1:2" s="27" customFormat="1" ht="20.25" customHeight="1" x14ac:dyDescent="0.45">
      <c r="A1317" s="26"/>
      <c r="B1317" s="28"/>
    </row>
    <row r="1318" spans="1:2" s="27" customFormat="1" ht="20.25" customHeight="1" x14ac:dyDescent="0.45">
      <c r="A1318" s="26"/>
      <c r="B1318" s="28"/>
    </row>
    <row r="1319" spans="1:2" s="27" customFormat="1" ht="20.25" customHeight="1" x14ac:dyDescent="0.45">
      <c r="A1319" s="26"/>
      <c r="B1319" s="28"/>
    </row>
    <row r="1320" spans="1:2" s="27" customFormat="1" ht="20.25" customHeight="1" x14ac:dyDescent="0.45">
      <c r="A1320" s="26"/>
      <c r="B1320" s="28"/>
    </row>
    <row r="1321" spans="1:2" s="27" customFormat="1" ht="20.25" customHeight="1" x14ac:dyDescent="0.45">
      <c r="A1321" s="26"/>
      <c r="B1321" s="28"/>
    </row>
    <row r="1322" spans="1:2" s="27" customFormat="1" ht="20.25" customHeight="1" x14ac:dyDescent="0.45">
      <c r="A1322" s="26"/>
      <c r="B1322" s="28"/>
    </row>
    <row r="1323" spans="1:2" s="27" customFormat="1" ht="20.25" customHeight="1" x14ac:dyDescent="0.45">
      <c r="A1323" s="26"/>
      <c r="B1323" s="28"/>
    </row>
    <row r="1324" spans="1:2" s="27" customFormat="1" ht="20.25" customHeight="1" x14ac:dyDescent="0.45">
      <c r="A1324" s="26"/>
      <c r="B1324" s="28"/>
    </row>
    <row r="1325" spans="1:2" s="27" customFormat="1" ht="20.25" customHeight="1" x14ac:dyDescent="0.45">
      <c r="A1325" s="26"/>
      <c r="B1325" s="28"/>
    </row>
    <row r="1326" spans="1:2" s="27" customFormat="1" ht="20.25" customHeight="1" x14ac:dyDescent="0.45">
      <c r="A1326" s="26"/>
      <c r="B1326" s="28"/>
    </row>
    <row r="1327" spans="1:2" s="27" customFormat="1" ht="20.25" customHeight="1" x14ac:dyDescent="0.45">
      <c r="A1327" s="26"/>
      <c r="B1327" s="28"/>
    </row>
    <row r="1328" spans="1:2" s="27" customFormat="1" ht="20.25" customHeight="1" x14ac:dyDescent="0.45">
      <c r="A1328" s="26"/>
      <c r="B1328" s="28"/>
    </row>
    <row r="1329" spans="1:2" s="27" customFormat="1" ht="20.25" customHeight="1" x14ac:dyDescent="0.45">
      <c r="A1329" s="26"/>
      <c r="B1329" s="28"/>
    </row>
    <row r="1330" spans="1:2" s="27" customFormat="1" ht="20.25" customHeight="1" x14ac:dyDescent="0.45">
      <c r="A1330" s="26"/>
      <c r="B1330" s="28"/>
    </row>
    <row r="1331" spans="1:2" s="27" customFormat="1" ht="20.25" customHeight="1" x14ac:dyDescent="0.45">
      <c r="A1331" s="26"/>
      <c r="B1331" s="28"/>
    </row>
    <row r="1332" spans="1:2" s="27" customFormat="1" ht="20.25" customHeight="1" x14ac:dyDescent="0.45">
      <c r="A1332" s="26"/>
      <c r="B1332" s="28"/>
    </row>
    <row r="1333" spans="1:2" s="27" customFormat="1" ht="20.25" customHeight="1" x14ac:dyDescent="0.45">
      <c r="A1333" s="26"/>
      <c r="B1333" s="28"/>
    </row>
    <row r="1334" spans="1:2" s="27" customFormat="1" ht="20.25" customHeight="1" x14ac:dyDescent="0.45">
      <c r="A1334" s="26"/>
      <c r="B1334" s="28"/>
    </row>
    <row r="1335" spans="1:2" s="27" customFormat="1" ht="20.25" customHeight="1" x14ac:dyDescent="0.45">
      <c r="A1335" s="26"/>
      <c r="B1335" s="28"/>
    </row>
    <row r="1336" spans="1:2" s="27" customFormat="1" ht="20.25" customHeight="1" x14ac:dyDescent="0.45">
      <c r="A1336" s="26"/>
      <c r="B1336" s="28"/>
    </row>
    <row r="1337" spans="1:2" s="27" customFormat="1" ht="20.25" customHeight="1" x14ac:dyDescent="0.45">
      <c r="A1337" s="26"/>
      <c r="B1337" s="28"/>
    </row>
    <row r="1338" spans="1:2" s="27" customFormat="1" ht="20.25" customHeight="1" x14ac:dyDescent="0.45">
      <c r="A1338" s="26"/>
      <c r="B1338" s="28"/>
    </row>
    <row r="1339" spans="1:2" s="27" customFormat="1" ht="20.25" customHeight="1" x14ac:dyDescent="0.45">
      <c r="A1339" s="26"/>
      <c r="B1339" s="28"/>
    </row>
    <row r="1340" spans="1:2" s="27" customFormat="1" ht="20.25" customHeight="1" x14ac:dyDescent="0.45">
      <c r="A1340" s="26"/>
      <c r="B1340" s="28"/>
    </row>
    <row r="1341" spans="1:2" s="27" customFormat="1" ht="20.25" customHeight="1" x14ac:dyDescent="0.45">
      <c r="A1341" s="26"/>
      <c r="B1341" s="28"/>
    </row>
    <row r="1342" spans="1:2" s="27" customFormat="1" ht="20.25" customHeight="1" x14ac:dyDescent="0.45">
      <c r="A1342" s="26"/>
      <c r="B1342" s="28"/>
    </row>
    <row r="1343" spans="1:2" s="27" customFormat="1" ht="20.25" customHeight="1" x14ac:dyDescent="0.45">
      <c r="A1343" s="26"/>
      <c r="B1343" s="28"/>
    </row>
    <row r="1344" spans="1:2" s="27" customFormat="1" ht="20.25" customHeight="1" x14ac:dyDescent="0.45">
      <c r="A1344" s="26"/>
      <c r="B1344" s="28"/>
    </row>
    <row r="1345" spans="1:2" s="27" customFormat="1" ht="20.25" customHeight="1" x14ac:dyDescent="0.45">
      <c r="A1345" s="26"/>
      <c r="B1345" s="28"/>
    </row>
    <row r="1346" spans="1:2" s="27" customFormat="1" ht="20.25" customHeight="1" x14ac:dyDescent="0.45">
      <c r="A1346" s="26"/>
      <c r="B1346" s="28"/>
    </row>
    <row r="1347" spans="1:2" s="27" customFormat="1" ht="20.25" customHeight="1" x14ac:dyDescent="0.45">
      <c r="A1347" s="26"/>
      <c r="B1347" s="28"/>
    </row>
    <row r="1348" spans="1:2" s="27" customFormat="1" ht="20.25" customHeight="1" x14ac:dyDescent="0.45">
      <c r="A1348" s="26"/>
      <c r="B1348" s="28"/>
    </row>
    <row r="1349" spans="1:2" s="27" customFormat="1" ht="20.25" customHeight="1" x14ac:dyDescent="0.45">
      <c r="A1349" s="26"/>
      <c r="B1349" s="28"/>
    </row>
    <row r="1350" spans="1:2" s="27" customFormat="1" ht="20.25" customHeight="1" x14ac:dyDescent="0.45">
      <c r="A1350" s="26"/>
      <c r="B1350" s="28"/>
    </row>
    <row r="1351" spans="1:2" s="27" customFormat="1" ht="20.25" customHeight="1" x14ac:dyDescent="0.45">
      <c r="A1351" s="26"/>
      <c r="B1351" s="28"/>
    </row>
    <row r="1352" spans="1:2" s="27" customFormat="1" ht="20.25" customHeight="1" x14ac:dyDescent="0.45">
      <c r="A1352" s="26"/>
      <c r="B1352" s="28"/>
    </row>
    <row r="1353" spans="1:2" s="27" customFormat="1" ht="20.25" customHeight="1" x14ac:dyDescent="0.45">
      <c r="A1353" s="26"/>
      <c r="B1353" s="28"/>
    </row>
    <row r="1354" spans="1:2" s="27" customFormat="1" ht="20.25" customHeight="1" x14ac:dyDescent="0.45">
      <c r="A1354" s="26"/>
      <c r="B1354" s="28"/>
    </row>
    <row r="1355" spans="1:2" s="27" customFormat="1" ht="20.25" customHeight="1" x14ac:dyDescent="0.45">
      <c r="A1355" s="26"/>
      <c r="B1355" s="28"/>
    </row>
    <row r="1356" spans="1:2" s="27" customFormat="1" ht="20.25" customHeight="1" x14ac:dyDescent="0.45">
      <c r="A1356" s="26"/>
      <c r="B1356" s="28"/>
    </row>
    <row r="1357" spans="1:2" s="27" customFormat="1" ht="20.25" customHeight="1" x14ac:dyDescent="0.45">
      <c r="A1357" s="26"/>
      <c r="B1357" s="28"/>
    </row>
    <row r="1358" spans="1:2" s="27" customFormat="1" ht="20.25" customHeight="1" x14ac:dyDescent="0.45">
      <c r="A1358" s="26"/>
      <c r="B1358" s="28"/>
    </row>
    <row r="1359" spans="1:2" s="27" customFormat="1" ht="20.25" customHeight="1" x14ac:dyDescent="0.45">
      <c r="A1359" s="26"/>
      <c r="B1359" s="28"/>
    </row>
    <row r="1360" spans="1:2" s="27" customFormat="1" ht="20.25" customHeight="1" x14ac:dyDescent="0.45">
      <c r="A1360" s="26"/>
      <c r="B1360" s="28"/>
    </row>
    <row r="1361" spans="1:2" s="27" customFormat="1" ht="20.25" customHeight="1" x14ac:dyDescent="0.45">
      <c r="A1361" s="26"/>
      <c r="B1361" s="28"/>
    </row>
    <row r="1362" spans="1:2" s="27" customFormat="1" ht="20.25" customHeight="1" x14ac:dyDescent="0.45">
      <c r="A1362" s="26"/>
      <c r="B1362" s="28"/>
    </row>
    <row r="1363" spans="1:2" s="27" customFormat="1" ht="20.25" customHeight="1" x14ac:dyDescent="0.45">
      <c r="A1363" s="26"/>
      <c r="B1363" s="28"/>
    </row>
    <row r="1364" spans="1:2" s="27" customFormat="1" ht="20.25" customHeight="1" x14ac:dyDescent="0.45">
      <c r="A1364" s="26"/>
      <c r="B1364" s="28"/>
    </row>
    <row r="1365" spans="1:2" s="27" customFormat="1" ht="20.25" customHeight="1" x14ac:dyDescent="0.45">
      <c r="A1365" s="26"/>
      <c r="B1365" s="28"/>
    </row>
    <row r="1366" spans="1:2" s="27" customFormat="1" ht="20.25" customHeight="1" x14ac:dyDescent="0.45">
      <c r="A1366" s="26"/>
      <c r="B1366" s="28"/>
    </row>
    <row r="1367" spans="1:2" s="27" customFormat="1" ht="20.25" customHeight="1" x14ac:dyDescent="0.45">
      <c r="A1367" s="26"/>
      <c r="B1367" s="28"/>
    </row>
    <row r="1368" spans="1:2" s="27" customFormat="1" ht="20.25" customHeight="1" x14ac:dyDescent="0.45">
      <c r="A1368" s="26"/>
      <c r="B1368" s="28"/>
    </row>
    <row r="1369" spans="1:2" s="27" customFormat="1" ht="20.25" customHeight="1" x14ac:dyDescent="0.45">
      <c r="A1369" s="26"/>
      <c r="B1369" s="28"/>
    </row>
    <row r="1370" spans="1:2" s="27" customFormat="1" ht="20.25" customHeight="1" x14ac:dyDescent="0.45">
      <c r="A1370" s="26"/>
      <c r="B1370" s="28"/>
    </row>
    <row r="1371" spans="1:2" s="27" customFormat="1" ht="20.25" customHeight="1" x14ac:dyDescent="0.45">
      <c r="A1371" s="26"/>
      <c r="B1371" s="28"/>
    </row>
    <row r="1372" spans="1:2" s="27" customFormat="1" ht="20.25" customHeight="1" x14ac:dyDescent="0.45">
      <c r="A1372" s="26"/>
      <c r="B1372" s="28"/>
    </row>
    <row r="1373" spans="1:2" s="27" customFormat="1" ht="20.25" customHeight="1" x14ac:dyDescent="0.45">
      <c r="A1373" s="26"/>
      <c r="B1373" s="28"/>
    </row>
    <row r="1374" spans="1:2" s="27" customFormat="1" ht="20.25" customHeight="1" x14ac:dyDescent="0.45">
      <c r="A1374" s="26"/>
      <c r="B1374" s="28"/>
    </row>
    <row r="1375" spans="1:2" s="27" customFormat="1" ht="20.25" customHeight="1" x14ac:dyDescent="0.45">
      <c r="A1375" s="26"/>
      <c r="B1375" s="28"/>
    </row>
    <row r="1376" spans="1:2" s="27" customFormat="1" ht="20.25" customHeight="1" x14ac:dyDescent="0.45">
      <c r="A1376" s="26"/>
      <c r="B1376" s="28"/>
    </row>
    <row r="1377" spans="1:2" s="27" customFormat="1" ht="20.25" customHeight="1" x14ac:dyDescent="0.45">
      <c r="A1377" s="26"/>
      <c r="B1377" s="28"/>
    </row>
    <row r="1378" spans="1:2" s="27" customFormat="1" ht="20.25" customHeight="1" x14ac:dyDescent="0.45">
      <c r="A1378" s="26"/>
      <c r="B1378" s="28"/>
    </row>
    <row r="1379" spans="1:2" s="27" customFormat="1" ht="20.25" customHeight="1" x14ac:dyDescent="0.45">
      <c r="A1379" s="26"/>
      <c r="B1379" s="28"/>
    </row>
    <row r="1380" spans="1:2" s="27" customFormat="1" ht="20.25" customHeight="1" x14ac:dyDescent="0.45">
      <c r="A1380" s="26"/>
      <c r="B1380" s="28"/>
    </row>
    <row r="1381" spans="1:2" s="27" customFormat="1" ht="20.25" customHeight="1" x14ac:dyDescent="0.45">
      <c r="A1381" s="26"/>
      <c r="B1381" s="28"/>
    </row>
    <row r="1382" spans="1:2" s="27" customFormat="1" ht="20.25" customHeight="1" x14ac:dyDescent="0.45">
      <c r="A1382" s="26"/>
      <c r="B1382" s="28"/>
    </row>
    <row r="1383" spans="1:2" s="27" customFormat="1" ht="20.25" customHeight="1" x14ac:dyDescent="0.45">
      <c r="A1383" s="26"/>
      <c r="B1383" s="28"/>
    </row>
    <row r="1384" spans="1:2" s="27" customFormat="1" ht="20.25" customHeight="1" x14ac:dyDescent="0.45">
      <c r="A1384" s="26"/>
      <c r="B1384" s="28"/>
    </row>
    <row r="1385" spans="1:2" s="27" customFormat="1" ht="20.25" customHeight="1" x14ac:dyDescent="0.45">
      <c r="A1385" s="26"/>
      <c r="B1385" s="28"/>
    </row>
    <row r="1386" spans="1:2" s="27" customFormat="1" ht="20.25" customHeight="1" x14ac:dyDescent="0.45">
      <c r="A1386" s="26"/>
      <c r="B1386" s="28"/>
    </row>
    <row r="1387" spans="1:2" s="27" customFormat="1" ht="20.25" customHeight="1" x14ac:dyDescent="0.45">
      <c r="A1387" s="26"/>
      <c r="B1387" s="28"/>
    </row>
    <row r="1388" spans="1:2" s="27" customFormat="1" ht="20.25" customHeight="1" x14ac:dyDescent="0.45">
      <c r="A1388" s="26"/>
      <c r="B1388" s="28"/>
    </row>
    <row r="1389" spans="1:2" s="27" customFormat="1" ht="20.25" customHeight="1" x14ac:dyDescent="0.45">
      <c r="A1389" s="26"/>
      <c r="B1389" s="28"/>
    </row>
    <row r="1390" spans="1:2" s="27" customFormat="1" ht="20.25" customHeight="1" x14ac:dyDescent="0.45">
      <c r="A1390" s="26"/>
      <c r="B1390" s="28"/>
    </row>
    <row r="1391" spans="1:2" s="27" customFormat="1" ht="20.25" customHeight="1" x14ac:dyDescent="0.45">
      <c r="A1391" s="26"/>
      <c r="B1391" s="28"/>
    </row>
    <row r="1392" spans="1:2" s="27" customFormat="1" ht="20.25" customHeight="1" x14ac:dyDescent="0.45">
      <c r="A1392" s="26"/>
      <c r="B1392" s="28"/>
    </row>
    <row r="1393" spans="1:2" s="27" customFormat="1" ht="20.25" customHeight="1" x14ac:dyDescent="0.45">
      <c r="A1393" s="26"/>
      <c r="B1393" s="28"/>
    </row>
    <row r="1394" spans="1:2" s="27" customFormat="1" ht="20.25" customHeight="1" x14ac:dyDescent="0.45">
      <c r="A1394" s="26"/>
      <c r="B1394" s="28"/>
    </row>
    <row r="1395" spans="1:2" s="27" customFormat="1" ht="20.25" customHeight="1" x14ac:dyDescent="0.45">
      <c r="A1395" s="26"/>
      <c r="B1395" s="28"/>
    </row>
    <row r="1396" spans="1:2" s="27" customFormat="1" ht="20.25" customHeight="1" x14ac:dyDescent="0.45">
      <c r="A1396" s="26"/>
      <c r="B1396" s="28"/>
    </row>
    <row r="1397" spans="1:2" s="27" customFormat="1" ht="20.25" customHeight="1" x14ac:dyDescent="0.45">
      <c r="A1397" s="26"/>
      <c r="B1397" s="28"/>
    </row>
    <row r="1398" spans="1:2" s="27" customFormat="1" ht="20.25" customHeight="1" x14ac:dyDescent="0.45">
      <c r="A1398" s="26"/>
      <c r="B1398" s="28"/>
    </row>
    <row r="1399" spans="1:2" s="27" customFormat="1" ht="20.25" customHeight="1" x14ac:dyDescent="0.45">
      <c r="A1399" s="26"/>
      <c r="B1399" s="28"/>
    </row>
    <row r="1400" spans="1:2" s="27" customFormat="1" ht="20.25" customHeight="1" x14ac:dyDescent="0.45">
      <c r="A1400" s="26"/>
      <c r="B1400" s="28"/>
    </row>
    <row r="1401" spans="1:2" s="27" customFormat="1" ht="20.25" customHeight="1" x14ac:dyDescent="0.45">
      <c r="A1401" s="26"/>
      <c r="B1401" s="28"/>
    </row>
    <row r="1402" spans="1:2" s="27" customFormat="1" ht="20.25" customHeight="1" x14ac:dyDescent="0.45">
      <c r="A1402" s="26"/>
      <c r="B1402" s="28"/>
    </row>
    <row r="1403" spans="1:2" s="27" customFormat="1" ht="20.25" customHeight="1" x14ac:dyDescent="0.45">
      <c r="A1403" s="26"/>
      <c r="B1403" s="28"/>
    </row>
    <row r="1404" spans="1:2" s="27" customFormat="1" ht="20.25" customHeight="1" x14ac:dyDescent="0.45">
      <c r="A1404" s="26"/>
      <c r="B1404" s="28"/>
    </row>
    <row r="1405" spans="1:2" s="27" customFormat="1" ht="20.25" customHeight="1" x14ac:dyDescent="0.45">
      <c r="A1405" s="26"/>
      <c r="B1405" s="28"/>
    </row>
    <row r="1406" spans="1:2" s="27" customFormat="1" ht="20.25" customHeight="1" x14ac:dyDescent="0.45">
      <c r="A1406" s="26"/>
      <c r="B1406" s="28"/>
    </row>
    <row r="1407" spans="1:2" s="27" customFormat="1" ht="20.25" customHeight="1" x14ac:dyDescent="0.45">
      <c r="A1407" s="26"/>
      <c r="B1407" s="28"/>
    </row>
    <row r="1408" spans="1:2" s="27" customFormat="1" ht="20.25" customHeight="1" x14ac:dyDescent="0.45">
      <c r="A1408" s="26"/>
      <c r="B1408" s="28"/>
    </row>
    <row r="1409" spans="1:2" s="27" customFormat="1" ht="20.25" customHeight="1" x14ac:dyDescent="0.45">
      <c r="A1409" s="26"/>
      <c r="B1409" s="28"/>
    </row>
    <row r="1410" spans="1:2" s="27" customFormat="1" ht="20.25" customHeight="1" x14ac:dyDescent="0.45">
      <c r="A1410" s="26"/>
      <c r="B1410" s="28"/>
    </row>
    <row r="1411" spans="1:2" s="27" customFormat="1" ht="20.25" customHeight="1" x14ac:dyDescent="0.45">
      <c r="A1411" s="26"/>
      <c r="B1411" s="28"/>
    </row>
    <row r="1412" spans="1:2" s="27" customFormat="1" ht="20.25" customHeight="1" x14ac:dyDescent="0.45">
      <c r="A1412" s="26"/>
      <c r="B1412" s="28"/>
    </row>
    <row r="1413" spans="1:2" s="27" customFormat="1" ht="20.25" customHeight="1" x14ac:dyDescent="0.45">
      <c r="A1413" s="26"/>
      <c r="B1413" s="28"/>
    </row>
    <row r="1414" spans="1:2" s="27" customFormat="1" ht="20.25" customHeight="1" x14ac:dyDescent="0.45">
      <c r="A1414" s="26"/>
      <c r="B1414" s="28"/>
    </row>
    <row r="1415" spans="1:2" s="27" customFormat="1" ht="20.25" customHeight="1" x14ac:dyDescent="0.45">
      <c r="A1415" s="26"/>
      <c r="B1415" s="28"/>
    </row>
    <row r="1416" spans="1:2" s="27" customFormat="1" ht="20.25" customHeight="1" x14ac:dyDescent="0.45">
      <c r="A1416" s="26"/>
      <c r="B1416" s="28"/>
    </row>
    <row r="1417" spans="1:2" s="27" customFormat="1" ht="20.25" customHeight="1" x14ac:dyDescent="0.45">
      <c r="A1417" s="26"/>
      <c r="B1417" s="28"/>
    </row>
    <row r="1418" spans="1:2" s="27" customFormat="1" ht="20.25" customHeight="1" x14ac:dyDescent="0.45">
      <c r="A1418" s="26"/>
      <c r="B1418" s="28"/>
    </row>
    <row r="1419" spans="1:2" s="27" customFormat="1" ht="20.25" customHeight="1" x14ac:dyDescent="0.45">
      <c r="A1419" s="26"/>
      <c r="B1419" s="28"/>
    </row>
    <row r="1420" spans="1:2" s="27" customFormat="1" ht="20.25" customHeight="1" x14ac:dyDescent="0.45">
      <c r="A1420" s="26"/>
      <c r="B1420" s="28"/>
    </row>
    <row r="1421" spans="1:2" s="27" customFormat="1" ht="20.25" customHeight="1" x14ac:dyDescent="0.45">
      <c r="A1421" s="26"/>
      <c r="B1421" s="28"/>
    </row>
    <row r="1422" spans="1:2" s="27" customFormat="1" ht="20.25" customHeight="1" x14ac:dyDescent="0.45">
      <c r="A1422" s="26"/>
      <c r="B1422" s="28"/>
    </row>
    <row r="1423" spans="1:2" s="27" customFormat="1" ht="20.25" customHeight="1" x14ac:dyDescent="0.45">
      <c r="A1423" s="26"/>
      <c r="B1423" s="28"/>
    </row>
    <row r="1424" spans="1:2" s="27" customFormat="1" ht="20.25" customHeight="1" x14ac:dyDescent="0.45">
      <c r="A1424" s="26"/>
      <c r="B1424" s="28"/>
    </row>
    <row r="1425" spans="1:2" s="27" customFormat="1" ht="20.25" customHeight="1" x14ac:dyDescent="0.45">
      <c r="A1425" s="26"/>
      <c r="B1425" s="28"/>
    </row>
    <row r="1426" spans="1:2" s="27" customFormat="1" ht="20.25" customHeight="1" x14ac:dyDescent="0.45">
      <c r="A1426" s="26"/>
      <c r="B1426" s="28"/>
    </row>
    <row r="1427" spans="1:2" s="27" customFormat="1" ht="20.25" customHeight="1" x14ac:dyDescent="0.45">
      <c r="A1427" s="26"/>
      <c r="B1427" s="28"/>
    </row>
    <row r="1428" spans="1:2" s="27" customFormat="1" ht="20.25" customHeight="1" x14ac:dyDescent="0.45">
      <c r="A1428" s="26"/>
      <c r="B1428" s="28"/>
    </row>
    <row r="1429" spans="1:2" s="27" customFormat="1" ht="20.25" customHeight="1" x14ac:dyDescent="0.45">
      <c r="A1429" s="26"/>
      <c r="B1429" s="28"/>
    </row>
    <row r="1430" spans="1:2" s="27" customFormat="1" ht="20.25" customHeight="1" x14ac:dyDescent="0.45">
      <c r="A1430" s="26"/>
      <c r="B1430" s="28"/>
    </row>
    <row r="1431" spans="1:2" s="27" customFormat="1" ht="20.25" customHeight="1" x14ac:dyDescent="0.45">
      <c r="A1431" s="26"/>
      <c r="B1431" s="28"/>
    </row>
    <row r="1432" spans="1:2" s="27" customFormat="1" ht="20.25" customHeight="1" x14ac:dyDescent="0.45">
      <c r="A1432" s="26"/>
      <c r="B1432" s="28"/>
    </row>
    <row r="1433" spans="1:2" s="27" customFormat="1" ht="20.25" customHeight="1" x14ac:dyDescent="0.45">
      <c r="A1433" s="26"/>
      <c r="B1433" s="28"/>
    </row>
    <row r="1434" spans="1:2" s="27" customFormat="1" ht="20.25" customHeight="1" x14ac:dyDescent="0.45">
      <c r="A1434" s="26"/>
      <c r="B1434" s="28"/>
    </row>
    <row r="1435" spans="1:2" s="27" customFormat="1" ht="20.25" customHeight="1" x14ac:dyDescent="0.45">
      <c r="A1435" s="26"/>
      <c r="B1435" s="28"/>
    </row>
    <row r="1436" spans="1:2" s="27" customFormat="1" ht="20.25" customHeight="1" x14ac:dyDescent="0.45">
      <c r="A1436" s="26"/>
      <c r="B1436" s="28"/>
    </row>
    <row r="1437" spans="1:2" s="27" customFormat="1" ht="20.25" customHeight="1" x14ac:dyDescent="0.45">
      <c r="A1437" s="26"/>
      <c r="B1437" s="28"/>
    </row>
    <row r="1438" spans="1:2" s="27" customFormat="1" ht="20.25" customHeight="1" x14ac:dyDescent="0.45">
      <c r="A1438" s="26"/>
      <c r="B1438" s="28"/>
    </row>
    <row r="1439" spans="1:2" s="27" customFormat="1" ht="20.25" customHeight="1" x14ac:dyDescent="0.45">
      <c r="A1439" s="26"/>
      <c r="B1439" s="28"/>
    </row>
    <row r="1440" spans="1:2" s="27" customFormat="1" ht="20.25" customHeight="1" x14ac:dyDescent="0.45">
      <c r="A1440" s="26"/>
      <c r="B1440" s="28"/>
    </row>
    <row r="1441" spans="1:2" s="27" customFormat="1" ht="20.25" customHeight="1" x14ac:dyDescent="0.45">
      <c r="A1441" s="26"/>
      <c r="B1441" s="28"/>
    </row>
    <row r="1442" spans="1:2" s="27" customFormat="1" ht="20.25" customHeight="1" x14ac:dyDescent="0.45">
      <c r="A1442" s="26"/>
      <c r="B1442" s="28"/>
    </row>
    <row r="1443" spans="1:2" s="27" customFormat="1" ht="20.25" customHeight="1" x14ac:dyDescent="0.45">
      <c r="A1443" s="26"/>
      <c r="B1443" s="28"/>
    </row>
    <row r="1444" spans="1:2" s="27" customFormat="1" ht="20.25" customHeight="1" x14ac:dyDescent="0.45">
      <c r="A1444" s="26"/>
      <c r="B1444" s="28"/>
    </row>
    <row r="1445" spans="1:2" s="27" customFormat="1" ht="20.25" customHeight="1" x14ac:dyDescent="0.45">
      <c r="A1445" s="26"/>
      <c r="B1445" s="28"/>
    </row>
    <row r="1446" spans="1:2" s="27" customFormat="1" ht="20.25" customHeight="1" x14ac:dyDescent="0.45">
      <c r="A1446" s="26"/>
      <c r="B1446" s="28"/>
    </row>
    <row r="1447" spans="1:2" s="27" customFormat="1" ht="20.25" customHeight="1" x14ac:dyDescent="0.45">
      <c r="A1447" s="26"/>
      <c r="B1447" s="28"/>
    </row>
    <row r="1448" spans="1:2" s="27" customFormat="1" ht="20.25" customHeight="1" x14ac:dyDescent="0.45">
      <c r="A1448" s="26"/>
      <c r="B1448" s="28"/>
    </row>
    <row r="1449" spans="1:2" s="27" customFormat="1" ht="20.25" customHeight="1" x14ac:dyDescent="0.45">
      <c r="A1449" s="26"/>
      <c r="B1449" s="28"/>
    </row>
    <row r="1450" spans="1:2" s="27" customFormat="1" ht="20.25" customHeight="1" x14ac:dyDescent="0.45">
      <c r="A1450" s="26"/>
      <c r="B1450" s="28"/>
    </row>
    <row r="1451" spans="1:2" s="27" customFormat="1" ht="20.25" customHeight="1" x14ac:dyDescent="0.45">
      <c r="A1451" s="26"/>
      <c r="B1451" s="28"/>
    </row>
    <row r="1452" spans="1:2" s="27" customFormat="1" ht="20.25" customHeight="1" x14ac:dyDescent="0.45">
      <c r="A1452" s="26"/>
      <c r="B1452" s="28"/>
    </row>
    <row r="1453" spans="1:2" s="27" customFormat="1" ht="20.25" customHeight="1" x14ac:dyDescent="0.45">
      <c r="A1453" s="26"/>
      <c r="B1453" s="28"/>
    </row>
    <row r="1454" spans="1:2" s="27" customFormat="1" ht="20.25" customHeight="1" x14ac:dyDescent="0.45">
      <c r="A1454" s="26"/>
      <c r="B1454" s="28"/>
    </row>
    <row r="1455" spans="1:2" s="27" customFormat="1" ht="20.25" customHeight="1" x14ac:dyDescent="0.45">
      <c r="A1455" s="26"/>
      <c r="B1455" s="28"/>
    </row>
    <row r="1456" spans="1:2" s="27" customFormat="1" ht="20.25" customHeight="1" x14ac:dyDescent="0.45">
      <c r="A1456" s="26"/>
      <c r="B1456" s="28"/>
    </row>
    <row r="1457" spans="1:2" s="27" customFormat="1" ht="20.25" customHeight="1" x14ac:dyDescent="0.45">
      <c r="A1457" s="26"/>
      <c r="B1457" s="28"/>
    </row>
    <row r="1458" spans="1:2" s="27" customFormat="1" ht="20.25" customHeight="1" x14ac:dyDescent="0.45">
      <c r="A1458" s="26"/>
      <c r="B1458" s="28"/>
    </row>
    <row r="1459" spans="1:2" s="27" customFormat="1" ht="20.25" customHeight="1" x14ac:dyDescent="0.45">
      <c r="A1459" s="26"/>
      <c r="B1459" s="28"/>
    </row>
    <row r="1460" spans="1:2" s="27" customFormat="1" ht="20.25" customHeight="1" x14ac:dyDescent="0.45">
      <c r="A1460" s="26"/>
      <c r="B1460" s="28"/>
    </row>
    <row r="1461" spans="1:2" s="27" customFormat="1" ht="20.25" customHeight="1" x14ac:dyDescent="0.45">
      <c r="A1461" s="26"/>
      <c r="B1461" s="28"/>
    </row>
    <row r="1462" spans="1:2" s="27" customFormat="1" ht="20.25" customHeight="1" x14ac:dyDescent="0.45">
      <c r="A1462" s="26"/>
      <c r="B1462" s="28"/>
    </row>
    <row r="1463" spans="1:2" s="27" customFormat="1" ht="20.25" customHeight="1" x14ac:dyDescent="0.45">
      <c r="A1463" s="26"/>
      <c r="B1463" s="28"/>
    </row>
    <row r="1464" spans="1:2" s="27" customFormat="1" ht="20.25" customHeight="1" x14ac:dyDescent="0.45">
      <c r="A1464" s="26"/>
      <c r="B1464" s="28"/>
    </row>
    <row r="1465" spans="1:2" s="27" customFormat="1" ht="20.25" customHeight="1" x14ac:dyDescent="0.45">
      <c r="A1465" s="26"/>
      <c r="B1465" s="28"/>
    </row>
    <row r="1466" spans="1:2" s="27" customFormat="1" ht="20.25" customHeight="1" x14ac:dyDescent="0.45">
      <c r="A1466" s="26"/>
      <c r="B1466" s="28"/>
    </row>
    <row r="1467" spans="1:2" s="27" customFormat="1" ht="20.25" customHeight="1" x14ac:dyDescent="0.45">
      <c r="A1467" s="26"/>
      <c r="B1467" s="28"/>
    </row>
    <row r="1468" spans="1:2" s="27" customFormat="1" ht="20.25" customHeight="1" x14ac:dyDescent="0.45">
      <c r="A1468" s="26"/>
      <c r="B1468" s="28"/>
    </row>
    <row r="1469" spans="1:2" s="27" customFormat="1" ht="20.25" customHeight="1" x14ac:dyDescent="0.45">
      <c r="A1469" s="26"/>
      <c r="B1469" s="28"/>
    </row>
    <row r="1470" spans="1:2" s="27" customFormat="1" ht="20.25" customHeight="1" x14ac:dyDescent="0.45">
      <c r="A1470" s="26"/>
      <c r="B1470" s="28"/>
    </row>
    <row r="1471" spans="1:2" s="27" customFormat="1" ht="20.25" customHeight="1" x14ac:dyDescent="0.45">
      <c r="A1471" s="26"/>
      <c r="B1471" s="28"/>
    </row>
    <row r="1472" spans="1:2" s="27" customFormat="1" ht="20.25" customHeight="1" x14ac:dyDescent="0.45">
      <c r="A1472" s="26"/>
      <c r="B1472" s="28"/>
    </row>
    <row r="1473" spans="1:2" s="27" customFormat="1" ht="20.25" customHeight="1" x14ac:dyDescent="0.45">
      <c r="A1473" s="26"/>
      <c r="B1473" s="28"/>
    </row>
    <row r="1474" spans="1:2" s="27" customFormat="1" ht="20.25" customHeight="1" x14ac:dyDescent="0.45">
      <c r="A1474" s="26"/>
      <c r="B1474" s="28"/>
    </row>
    <row r="1475" spans="1:2" s="27" customFormat="1" ht="20.25" customHeight="1" x14ac:dyDescent="0.45">
      <c r="A1475" s="26"/>
      <c r="B1475" s="28"/>
    </row>
    <row r="1476" spans="1:2" s="27" customFormat="1" ht="20.25" customHeight="1" x14ac:dyDescent="0.45">
      <c r="A1476" s="26"/>
      <c r="B1476" s="28"/>
    </row>
    <row r="1477" spans="1:2" s="27" customFormat="1" ht="20.25" customHeight="1" x14ac:dyDescent="0.45">
      <c r="A1477" s="26"/>
      <c r="B1477" s="28"/>
    </row>
    <row r="1478" spans="1:2" s="27" customFormat="1" ht="20.25" customHeight="1" x14ac:dyDescent="0.45">
      <c r="A1478" s="26"/>
      <c r="B1478" s="28"/>
    </row>
    <row r="1479" spans="1:2" s="27" customFormat="1" ht="20.25" customHeight="1" x14ac:dyDescent="0.45">
      <c r="A1479" s="26"/>
      <c r="B1479" s="28"/>
    </row>
    <row r="1480" spans="1:2" s="27" customFormat="1" ht="20.25" customHeight="1" x14ac:dyDescent="0.45">
      <c r="A1480" s="26"/>
      <c r="B1480" s="28"/>
    </row>
    <row r="1481" spans="1:2" s="27" customFormat="1" ht="20.25" customHeight="1" x14ac:dyDescent="0.45">
      <c r="A1481" s="26"/>
      <c r="B1481" s="28"/>
    </row>
    <row r="1482" spans="1:2" s="27" customFormat="1" ht="20.25" customHeight="1" x14ac:dyDescent="0.45">
      <c r="A1482" s="26"/>
      <c r="B1482" s="28"/>
    </row>
    <row r="1483" spans="1:2" s="27" customFormat="1" ht="20.25" customHeight="1" x14ac:dyDescent="0.45">
      <c r="A1483" s="26"/>
      <c r="B1483" s="28"/>
    </row>
    <row r="1484" spans="1:2" s="27" customFormat="1" ht="20.25" customHeight="1" x14ac:dyDescent="0.45">
      <c r="A1484" s="26"/>
      <c r="B1484" s="28"/>
    </row>
    <row r="1485" spans="1:2" s="27" customFormat="1" ht="20.25" customHeight="1" x14ac:dyDescent="0.45">
      <c r="A1485" s="26"/>
      <c r="B1485" s="28"/>
    </row>
    <row r="1486" spans="1:2" s="27" customFormat="1" ht="20.25" customHeight="1" x14ac:dyDescent="0.45">
      <c r="A1486" s="26"/>
      <c r="B1486" s="28"/>
    </row>
    <row r="1487" spans="1:2" s="27" customFormat="1" ht="20.25" customHeight="1" x14ac:dyDescent="0.45">
      <c r="A1487" s="26"/>
      <c r="B1487" s="28"/>
    </row>
    <row r="1488" spans="1:2" s="27" customFormat="1" ht="20.25" customHeight="1" x14ac:dyDescent="0.45">
      <c r="A1488" s="26"/>
      <c r="B1488" s="28"/>
    </row>
    <row r="1489" spans="1:2" s="27" customFormat="1" ht="20.25" customHeight="1" x14ac:dyDescent="0.45">
      <c r="A1489" s="26"/>
      <c r="B1489" s="28"/>
    </row>
    <row r="1490" spans="1:2" s="27" customFormat="1" ht="20.25" customHeight="1" x14ac:dyDescent="0.45">
      <c r="A1490" s="26"/>
      <c r="B1490" s="28"/>
    </row>
    <row r="1491" spans="1:2" s="27" customFormat="1" ht="20.25" customHeight="1" x14ac:dyDescent="0.45">
      <c r="A1491" s="26"/>
      <c r="B1491" s="28"/>
    </row>
    <row r="1492" spans="1:2" s="27" customFormat="1" ht="20.25" customHeight="1" x14ac:dyDescent="0.45">
      <c r="A1492" s="26"/>
      <c r="B1492" s="28"/>
    </row>
    <row r="1493" spans="1:2" s="27" customFormat="1" ht="20.25" customHeight="1" x14ac:dyDescent="0.45">
      <c r="A1493" s="26"/>
      <c r="B1493" s="28"/>
    </row>
    <row r="1494" spans="1:2" s="27" customFormat="1" ht="20.25" customHeight="1" x14ac:dyDescent="0.45">
      <c r="A1494" s="26"/>
      <c r="B1494" s="28"/>
    </row>
    <row r="1495" spans="1:2" s="27" customFormat="1" ht="20.25" customHeight="1" x14ac:dyDescent="0.45">
      <c r="A1495" s="26"/>
      <c r="B1495" s="28"/>
    </row>
    <row r="1496" spans="1:2" s="27" customFormat="1" ht="20.25" customHeight="1" x14ac:dyDescent="0.45">
      <c r="A1496" s="26"/>
      <c r="B1496" s="28"/>
    </row>
    <row r="1497" spans="1:2" s="27" customFormat="1" ht="20.25" customHeight="1" x14ac:dyDescent="0.45">
      <c r="A1497" s="26"/>
      <c r="B1497" s="28"/>
    </row>
    <row r="1498" spans="1:2" s="27" customFormat="1" ht="20.25" customHeight="1" x14ac:dyDescent="0.45">
      <c r="A1498" s="26"/>
      <c r="B1498" s="28"/>
    </row>
    <row r="1499" spans="1:2" s="27" customFormat="1" ht="20.25" customHeight="1" x14ac:dyDescent="0.45">
      <c r="A1499" s="26"/>
      <c r="B1499" s="28"/>
    </row>
    <row r="1500" spans="1:2" s="27" customFormat="1" ht="20.25" customHeight="1" x14ac:dyDescent="0.45">
      <c r="A1500" s="26"/>
      <c r="B1500" s="28"/>
    </row>
    <row r="1501" spans="1:2" s="27" customFormat="1" ht="20.25" customHeight="1" x14ac:dyDescent="0.45">
      <c r="A1501" s="26"/>
      <c r="B1501" s="28"/>
    </row>
    <row r="1502" spans="1:2" s="27" customFormat="1" ht="20.25" customHeight="1" x14ac:dyDescent="0.45">
      <c r="A1502" s="26"/>
      <c r="B1502" s="28"/>
    </row>
    <row r="1503" spans="1:2" s="27" customFormat="1" ht="20.25" customHeight="1" x14ac:dyDescent="0.45">
      <c r="A1503" s="26"/>
      <c r="B1503" s="28"/>
    </row>
    <row r="1504" spans="1:2" s="27" customFormat="1" ht="20.25" customHeight="1" x14ac:dyDescent="0.45">
      <c r="A1504" s="26"/>
      <c r="B1504" s="28"/>
    </row>
    <row r="1505" spans="1:2" s="27" customFormat="1" ht="20.25" customHeight="1" x14ac:dyDescent="0.45">
      <c r="A1505" s="26"/>
      <c r="B1505" s="28"/>
    </row>
    <row r="1506" spans="1:2" s="27" customFormat="1" ht="20.25" customHeight="1" x14ac:dyDescent="0.45">
      <c r="A1506" s="26"/>
      <c r="B1506" s="28"/>
    </row>
    <row r="1507" spans="1:2" s="27" customFormat="1" ht="20.25" customHeight="1" x14ac:dyDescent="0.45">
      <c r="A1507" s="26"/>
      <c r="B1507" s="28"/>
    </row>
    <row r="1508" spans="1:2" s="27" customFormat="1" ht="20.25" customHeight="1" x14ac:dyDescent="0.45">
      <c r="A1508" s="26"/>
      <c r="B1508" s="28"/>
    </row>
    <row r="1509" spans="1:2" s="27" customFormat="1" ht="20.25" customHeight="1" x14ac:dyDescent="0.45">
      <c r="A1509" s="26"/>
      <c r="B1509" s="28"/>
    </row>
    <row r="1510" spans="1:2" s="27" customFormat="1" ht="20.25" customHeight="1" x14ac:dyDescent="0.45">
      <c r="A1510" s="26"/>
      <c r="B1510" s="28"/>
    </row>
    <row r="1511" spans="1:2" s="27" customFormat="1" ht="20.25" customHeight="1" x14ac:dyDescent="0.45">
      <c r="A1511" s="26"/>
      <c r="B1511" s="28"/>
    </row>
    <row r="1512" spans="1:2" s="27" customFormat="1" ht="20.25" customHeight="1" x14ac:dyDescent="0.45">
      <c r="A1512" s="26"/>
      <c r="B1512" s="28"/>
    </row>
    <row r="1513" spans="1:2" s="27" customFormat="1" ht="20.25" customHeight="1" x14ac:dyDescent="0.45">
      <c r="A1513" s="26"/>
      <c r="B1513" s="28"/>
    </row>
    <row r="1514" spans="1:2" s="27" customFormat="1" ht="20.25" customHeight="1" x14ac:dyDescent="0.45">
      <c r="A1514" s="26"/>
      <c r="B1514" s="28"/>
    </row>
    <row r="1515" spans="1:2" s="27" customFormat="1" ht="20.25" customHeight="1" x14ac:dyDescent="0.45">
      <c r="A1515" s="26"/>
      <c r="B1515" s="28"/>
    </row>
    <row r="1516" spans="1:2" s="27" customFormat="1" ht="20.25" customHeight="1" x14ac:dyDescent="0.45">
      <c r="A1516" s="26"/>
      <c r="B1516" s="28"/>
    </row>
    <row r="1517" spans="1:2" s="27" customFormat="1" ht="20.25" customHeight="1" x14ac:dyDescent="0.45">
      <c r="A1517" s="26"/>
      <c r="B1517" s="28"/>
    </row>
    <row r="1518" spans="1:2" s="27" customFormat="1" ht="20.25" customHeight="1" x14ac:dyDescent="0.45">
      <c r="A1518" s="26"/>
      <c r="B1518" s="28"/>
    </row>
    <row r="1519" spans="1:2" s="27" customFormat="1" ht="20.25" customHeight="1" x14ac:dyDescent="0.45">
      <c r="A1519" s="26"/>
      <c r="B1519" s="28"/>
    </row>
    <row r="1520" spans="1:2" s="27" customFormat="1" ht="20.25" customHeight="1" x14ac:dyDescent="0.45">
      <c r="A1520" s="26"/>
      <c r="B1520" s="28"/>
    </row>
  </sheetData>
  <pageMargins left="0" right="0" top="0" bottom="0" header="0" footer="0"/>
  <pageSetup orientation="portrait"/>
  <headerFooter>
    <oddFooter>&amp;"Helvetica,Regular"&amp;11&amp;P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Export Summary</vt:lpstr>
      <vt:lpstr>Recovered_Sheet1</vt:lpstr>
      <vt:lpstr>Sheet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O'Brien</dc:creator>
  <cp:lastModifiedBy>Dr. O'Brien</cp:lastModifiedBy>
  <dcterms:created xsi:type="dcterms:W3CDTF">2018-08-13T19:35:31Z</dcterms:created>
  <dcterms:modified xsi:type="dcterms:W3CDTF">2018-08-13T19:35:32Z</dcterms:modified>
</cp:coreProperties>
</file>